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1840" windowHeight="11700" activeTab="2"/>
  </bookViews>
  <sheets>
    <sheet name="бюджет расч" sheetId="1" r:id="rId1"/>
    <sheet name="перечень мероприятий культура" sheetId="2" r:id="rId2"/>
    <sheet name="МатЗатр " sheetId="3" r:id="rId3"/>
  </sheets>
  <externalReferences>
    <externalReference r:id="rId4"/>
    <externalReference r:id="rId5"/>
    <externalReference r:id="rId6"/>
    <externalReference r:id="rId7"/>
  </externalReferences>
  <definedNames>
    <definedName name="_xlnm.Print_Titles" localSheetId="0">'бюджет расч'!$3:$6</definedName>
    <definedName name="_xlnm.Print_Titles" localSheetId="2">'МатЗатр '!$2:$3</definedName>
    <definedName name="_xlnm.Print_Area" localSheetId="2">'МатЗатр '!$A$1:$N$45</definedName>
    <definedName name="_xlnm.Print_Area" localSheetId="1">'перечень мероприятий культура'!$A$1:$D$55</definedName>
  </definedNames>
  <calcPr calcId="114210" fullCalcOnLoad="1"/>
</workbook>
</file>

<file path=xl/calcChain.xml><?xml version="1.0" encoding="utf-8"?>
<calcChain xmlns="http://schemas.openxmlformats.org/spreadsheetml/2006/main">
  <c r="M40" i="3"/>
  <c r="K40"/>
  <c r="M39"/>
  <c r="H38"/>
  <c r="F38"/>
  <c r="D38"/>
  <c r="C37"/>
  <c r="M37"/>
  <c r="G36"/>
  <c r="C36"/>
  <c r="M36"/>
  <c r="C35"/>
  <c r="M35"/>
  <c r="K35"/>
  <c r="G35"/>
  <c r="J34"/>
  <c r="G34"/>
  <c r="C34"/>
  <c r="M34"/>
  <c r="C33"/>
  <c r="M33"/>
  <c r="L33"/>
  <c r="G33"/>
  <c r="L32"/>
  <c r="G32"/>
  <c r="C32"/>
  <c r="M32"/>
  <c r="L31"/>
  <c r="C31"/>
  <c r="M31"/>
  <c r="L30"/>
  <c r="G30"/>
  <c r="C30"/>
  <c r="M30"/>
  <c r="G29"/>
  <c r="C29"/>
  <c r="M29"/>
  <c r="L28"/>
  <c r="G28"/>
  <c r="C28"/>
  <c r="B28"/>
  <c r="M28"/>
  <c r="L27"/>
  <c r="K27"/>
  <c r="J27"/>
  <c r="G27"/>
  <c r="C27"/>
  <c r="M27"/>
  <c r="K26"/>
  <c r="J26"/>
  <c r="G26"/>
  <c r="G38"/>
  <c r="C26"/>
  <c r="M26"/>
  <c r="J25"/>
  <c r="C25"/>
  <c r="M25"/>
  <c r="J24"/>
  <c r="C24"/>
  <c r="M24"/>
  <c r="J23"/>
  <c r="C23"/>
  <c r="M23"/>
  <c r="L22"/>
  <c r="L38"/>
  <c r="J22"/>
  <c r="C22"/>
  <c r="M22"/>
  <c r="J21"/>
  <c r="C21"/>
  <c r="M21"/>
  <c r="J20"/>
  <c r="C20"/>
  <c r="M20"/>
  <c r="J19"/>
  <c r="C19"/>
  <c r="B19"/>
  <c r="M19"/>
  <c r="J18"/>
  <c r="J38"/>
  <c r="C18"/>
  <c r="M18"/>
  <c r="J17"/>
  <c r="C17"/>
  <c r="M17"/>
  <c r="J16"/>
  <c r="I16"/>
  <c r="I38"/>
  <c r="E16"/>
  <c r="E38"/>
  <c r="C16"/>
  <c r="M16"/>
  <c r="P16"/>
  <c r="K15"/>
  <c r="K38"/>
  <c r="J15"/>
  <c r="C15"/>
  <c r="C38"/>
  <c r="L14"/>
  <c r="K14"/>
  <c r="J14"/>
  <c r="I14"/>
  <c r="I41"/>
  <c r="H14"/>
  <c r="H41"/>
  <c r="G14"/>
  <c r="G41"/>
  <c r="F14"/>
  <c r="F41"/>
  <c r="E14"/>
  <c r="D14"/>
  <c r="D41"/>
  <c r="C14"/>
  <c r="B14"/>
  <c r="M13"/>
  <c r="M12"/>
  <c r="J12"/>
  <c r="M11"/>
  <c r="M14"/>
  <c r="L11"/>
  <c r="L10"/>
  <c r="I10"/>
  <c r="H10"/>
  <c r="G10"/>
  <c r="F10"/>
  <c r="E10"/>
  <c r="E41"/>
  <c r="D10"/>
  <c r="C10"/>
  <c r="C41"/>
  <c r="B10"/>
  <c r="M9"/>
  <c r="M8"/>
  <c r="K7"/>
  <c r="J7"/>
  <c r="J10"/>
  <c r="K6"/>
  <c r="M6"/>
  <c r="K5"/>
  <c r="M5"/>
  <c r="M4"/>
  <c r="F48" i="2"/>
  <c r="C48"/>
  <c r="C42"/>
  <c r="C5"/>
  <c r="J41" i="3"/>
  <c r="L41"/>
  <c r="B38"/>
  <c r="B41"/>
  <c r="M7"/>
  <c r="M10"/>
  <c r="M15"/>
  <c r="M38"/>
  <c r="M41"/>
  <c r="K10"/>
  <c r="K41"/>
  <c r="C16" i="2"/>
  <c r="C53"/>
  <c r="F53"/>
  <c r="G53"/>
  <c r="G51"/>
  <c r="M47" i="1"/>
  <c r="O47"/>
  <c r="M46"/>
  <c r="O46"/>
  <c r="M45"/>
  <c r="O45"/>
  <c r="M44"/>
  <c r="O44"/>
  <c r="N43"/>
  <c r="G43"/>
  <c r="G42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14"/>
  <c r="G15"/>
  <c r="G16"/>
  <c r="G17"/>
  <c r="G8"/>
  <c r="G9"/>
  <c r="G10"/>
  <c r="G11"/>
  <c r="G12"/>
  <c r="G13"/>
  <c r="G7"/>
  <c r="G48"/>
  <c r="O42"/>
  <c r="L41"/>
  <c r="L48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F41"/>
  <c r="N40"/>
  <c r="J40"/>
  <c r="H40"/>
  <c r="D40"/>
  <c r="E40"/>
  <c r="M40"/>
  <c r="O40"/>
  <c r="N39"/>
  <c r="J39"/>
  <c r="H39"/>
  <c r="D39"/>
  <c r="E39"/>
  <c r="M39"/>
  <c r="O39"/>
  <c r="N38"/>
  <c r="J38"/>
  <c r="H38"/>
  <c r="D38"/>
  <c r="E38"/>
  <c r="M38"/>
  <c r="O38"/>
  <c r="N37"/>
  <c r="J37"/>
  <c r="H37"/>
  <c r="D37"/>
  <c r="E37"/>
  <c r="M37"/>
  <c r="O37"/>
  <c r="N36"/>
  <c r="J36"/>
  <c r="H36"/>
  <c r="D36"/>
  <c r="E36"/>
  <c r="M36"/>
  <c r="O36"/>
  <c r="N35"/>
  <c r="J35"/>
  <c r="H35"/>
  <c r="D35"/>
  <c r="E35"/>
  <c r="M35"/>
  <c r="O35"/>
  <c r="N34"/>
  <c r="J34"/>
  <c r="H34"/>
  <c r="D34"/>
  <c r="E34"/>
  <c r="M34"/>
  <c r="O34"/>
  <c r="N33"/>
  <c r="J33"/>
  <c r="H33"/>
  <c r="D33"/>
  <c r="E33"/>
  <c r="M33"/>
  <c r="O33"/>
  <c r="N32"/>
  <c r="J32"/>
  <c r="H32"/>
  <c r="D32"/>
  <c r="E32"/>
  <c r="M32"/>
  <c r="O32"/>
  <c r="N31"/>
  <c r="J31"/>
  <c r="H31"/>
  <c r="D31"/>
  <c r="E31"/>
  <c r="M31"/>
  <c r="O31"/>
  <c r="N30"/>
  <c r="J30"/>
  <c r="H30"/>
  <c r="D30"/>
  <c r="E30"/>
  <c r="M30"/>
  <c r="O30"/>
  <c r="N29"/>
  <c r="J29"/>
  <c r="H29"/>
  <c r="D29"/>
  <c r="E29"/>
  <c r="M29"/>
  <c r="O29"/>
  <c r="N28"/>
  <c r="J28"/>
  <c r="H28"/>
  <c r="D28"/>
  <c r="E28"/>
  <c r="M28"/>
  <c r="O28"/>
  <c r="N27"/>
  <c r="J27"/>
  <c r="H27"/>
  <c r="D27"/>
  <c r="E27"/>
  <c r="M27"/>
  <c r="O27"/>
  <c r="N26"/>
  <c r="J26"/>
  <c r="H26"/>
  <c r="D26"/>
  <c r="E26"/>
  <c r="M26"/>
  <c r="O26"/>
  <c r="N25"/>
  <c r="J25"/>
  <c r="H25"/>
  <c r="D25"/>
  <c r="E25"/>
  <c r="M25"/>
  <c r="O25"/>
  <c r="N24"/>
  <c r="J24"/>
  <c r="H24"/>
  <c r="D24"/>
  <c r="E24"/>
  <c r="M24"/>
  <c r="O24"/>
  <c r="N23"/>
  <c r="J23"/>
  <c r="H23"/>
  <c r="D23"/>
  <c r="E23"/>
  <c r="M23"/>
  <c r="O23"/>
  <c r="N22"/>
  <c r="J22"/>
  <c r="H22"/>
  <c r="D22"/>
  <c r="E22"/>
  <c r="M22"/>
  <c r="O22"/>
  <c r="N21"/>
  <c r="J21"/>
  <c r="H21"/>
  <c r="D21"/>
  <c r="E21"/>
  <c r="M21"/>
  <c r="O21"/>
  <c r="N20"/>
  <c r="J20"/>
  <c r="H20"/>
  <c r="D20"/>
  <c r="E20"/>
  <c r="M20"/>
  <c r="O20"/>
  <c r="N19"/>
  <c r="J19"/>
  <c r="H19"/>
  <c r="D19"/>
  <c r="E19"/>
  <c r="M19"/>
  <c r="O19"/>
  <c r="N18"/>
  <c r="N41"/>
  <c r="J18"/>
  <c r="J41"/>
  <c r="J14"/>
  <c r="J15"/>
  <c r="J16"/>
  <c r="J17"/>
  <c r="J8"/>
  <c r="J9"/>
  <c r="J10"/>
  <c r="J11"/>
  <c r="J12"/>
  <c r="J13"/>
  <c r="J7"/>
  <c r="J48"/>
  <c r="H18"/>
  <c r="H41"/>
  <c r="D18"/>
  <c r="E18"/>
  <c r="E41"/>
  <c r="D41"/>
  <c r="L17"/>
  <c r="N16"/>
  <c r="K16"/>
  <c r="I16"/>
  <c r="H16"/>
  <c r="F16"/>
  <c r="D16"/>
  <c r="E16"/>
  <c r="N15"/>
  <c r="K15"/>
  <c r="K14"/>
  <c r="K17"/>
  <c r="I15"/>
  <c r="H15"/>
  <c r="F15"/>
  <c r="D15"/>
  <c r="E15"/>
  <c r="M15"/>
  <c r="O15"/>
  <c r="N14"/>
  <c r="N17"/>
  <c r="I14"/>
  <c r="H14"/>
  <c r="F14"/>
  <c r="F17"/>
  <c r="D14"/>
  <c r="D17"/>
  <c r="N13"/>
  <c r="L13"/>
  <c r="N12"/>
  <c r="K12"/>
  <c r="I12"/>
  <c r="H12"/>
  <c r="F12"/>
  <c r="D12"/>
  <c r="E12"/>
  <c r="M12"/>
  <c r="O12"/>
  <c r="N11"/>
  <c r="K11"/>
  <c r="I11"/>
  <c r="H11"/>
  <c r="F11"/>
  <c r="D11"/>
  <c r="E11"/>
  <c r="N10"/>
  <c r="K10"/>
  <c r="I10"/>
  <c r="H10"/>
  <c r="F10"/>
  <c r="D10"/>
  <c r="E10"/>
  <c r="M10"/>
  <c r="O10"/>
  <c r="N9"/>
  <c r="K9"/>
  <c r="I9"/>
  <c r="H9"/>
  <c r="F9"/>
  <c r="F8"/>
  <c r="F13"/>
  <c r="D9"/>
  <c r="E9"/>
  <c r="N8"/>
  <c r="K8"/>
  <c r="K13"/>
  <c r="I8"/>
  <c r="I13"/>
  <c r="D8"/>
  <c r="E8"/>
  <c r="N7"/>
  <c r="K7"/>
  <c r="I7"/>
  <c r="H7"/>
  <c r="F7"/>
  <c r="D7"/>
  <c r="E7"/>
  <c r="E13"/>
  <c r="H17"/>
  <c r="F48"/>
  <c r="N48"/>
  <c r="M7"/>
  <c r="O7"/>
  <c r="M9"/>
  <c r="O9"/>
  <c r="M11"/>
  <c r="O11"/>
  <c r="D13"/>
  <c r="D48"/>
  <c r="M16"/>
  <c r="O16"/>
  <c r="I17"/>
  <c r="I48"/>
  <c r="M18"/>
  <c r="H8"/>
  <c r="H13"/>
  <c r="H48"/>
  <c r="E14"/>
  <c r="E17"/>
  <c r="E48"/>
  <c r="O43"/>
  <c r="M41"/>
  <c r="O18"/>
  <c r="O41"/>
  <c r="M8"/>
  <c r="M14"/>
  <c r="M17"/>
  <c r="O14"/>
  <c r="O17"/>
  <c r="M13"/>
  <c r="O8"/>
  <c r="O13"/>
  <c r="M48"/>
  <c r="O48"/>
</calcChain>
</file>

<file path=xl/sharedStrings.xml><?xml version="1.0" encoding="utf-8"?>
<sst xmlns="http://schemas.openxmlformats.org/spreadsheetml/2006/main" count="244" uniqueCount="216">
  <si>
    <t>Детализация расходов к проекту бюджета государственных учреждений культуры находящихся в ведении Министерства культуры Республики Дагестан на 2019 год и плановый период 2020 и 2021 гг.</t>
  </si>
  <si>
    <t>№</t>
  </si>
  <si>
    <t>Наименование организации</t>
  </si>
  <si>
    <t>Ц.С.</t>
  </si>
  <si>
    <t xml:space="preserve">Ст. 211
зарплата 2018 год </t>
  </si>
  <si>
    <t xml:space="preserve">ст. 213 начисление </t>
  </si>
  <si>
    <t xml:space="preserve">  ст. 221
 связь</t>
  </si>
  <si>
    <t>ст.233 комунальные услуги</t>
  </si>
  <si>
    <t xml:space="preserve">ст. 290
налоги             </t>
  </si>
  <si>
    <t>В том числе</t>
  </si>
  <si>
    <t>Итого по зашишеным статьям</t>
  </si>
  <si>
    <t>Матзатраты</t>
  </si>
  <si>
    <t>ВСЕГО
 расходы</t>
  </si>
  <si>
    <t>земельный</t>
  </si>
  <si>
    <t>имущественный</t>
  </si>
  <si>
    <t>транспортный</t>
  </si>
  <si>
    <t>стипендия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</si>
  <si>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</si>
  <si>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</si>
  <si>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</si>
  <si>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</si>
  <si>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</si>
  <si>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</si>
  <si>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ГБУК «Республиканский дом народного творчества»</t>
  </si>
  <si>
    <t>20 2 02 00590</t>
  </si>
  <si>
    <t>ГБУ РД «Национальный музей им. А. Тахо-Годи»</t>
  </si>
  <si>
    <t>20 2 04 00590</t>
  </si>
  <si>
    <t>ГБУ «Дагестанский музей изобразительных искусств им. П.С. Гамзатовой»</t>
  </si>
  <si>
    <t>ГБУ «Дербентский государственный историко-архитектурный и художественный музей-заповедник»</t>
  </si>
  <si>
    <t>ГБУ «Музей-заповедник – этнографический комплекс «Дагестанский аул»</t>
  </si>
  <si>
    <t>ГБУ РД «Музей истории мировых культур и религий»</t>
  </si>
  <si>
    <t>Итого по музеям</t>
  </si>
  <si>
    <t>20 2 04</t>
  </si>
  <si>
    <t>ГБУ «Национальная библиотека Республики Дагестан им. Р. Гамзатова»</t>
  </si>
  <si>
    <t>20 2 05 00590</t>
  </si>
  <si>
    <t xml:space="preserve">ГБУ «Республиканская детская библиотека им. Н. Юсупова»
</t>
  </si>
  <si>
    <t>ГБУ «Республиканская специальная библиотека для слепых»</t>
  </si>
  <si>
    <t>Итого по библиотекам</t>
  </si>
  <si>
    <t>20 02 05</t>
  </si>
  <si>
    <t xml:space="preserve">ГБУ «Государственный республиканский русский драматический театр им. М. Горького»
</t>
  </si>
  <si>
    <t>20 2 06 00590</t>
  </si>
  <si>
    <t>ГБУ «Аварский музыкально-драматический театр им. Г. Цадасы»</t>
  </si>
  <si>
    <t>ГБУ «Дагестанский государственный кумыкский музыкально-драматический театр им. А.-П. Салаватова»</t>
  </si>
  <si>
    <t xml:space="preserve">ГБУ «Даргинский государственный музыкально-драматический театр им. О. Батырая»
</t>
  </si>
  <si>
    <t>ГБУ «Государственный лезгинский музыкально-драматический театр им. С. Стальского»</t>
  </si>
  <si>
    <t>ГБУ «Лакский государственный музыкально-драматический театр им. Э. Капиева»</t>
  </si>
  <si>
    <t>ГБУ «Дагестанский государственный театр кукол»</t>
  </si>
  <si>
    <t>ГБУ «Дагестанский государственный театр оперы и балета»</t>
  </si>
  <si>
    <t>ГБУ «Азербайджанский государственный драматический театр»</t>
  </si>
  <si>
    <t>ГБУ «Государственный ногайский драматический театр»</t>
  </si>
  <si>
    <t>ГБУ «Государственный табасаранский драматический театр»</t>
  </si>
  <si>
    <t>ГБУ РД «Театр поэзии»</t>
  </si>
  <si>
    <t>ГБУ «Дагестанская государственная филармония им. Т. Мурадова»</t>
  </si>
  <si>
    <t xml:space="preserve">ГБУ «Государственный  ансамбль песни и танца «Дагестан» </t>
  </si>
  <si>
    <t>ГБУ «Государственный ансамбль танца народов Кавказа «Молодость Дагестана»</t>
  </si>
  <si>
    <t>ГБУ «Ногайский государственный оркестр народных инструментов»</t>
  </si>
  <si>
    <t>ГБУ «Государственный кизлярский терский ансамбль казачьей песни»</t>
  </si>
  <si>
    <t>ГБУ «Государственный оркестр народных инструментов Республики Дагестан»</t>
  </si>
  <si>
    <t>ГБУ «Государственный ногайский фольклорно-этнографический ансамбль «Айланай»</t>
  </si>
  <si>
    <t xml:space="preserve">ГБУ «Академический заслуженный ансамбль танца Дагестана «Лезгинка» </t>
  </si>
  <si>
    <t>ГБУ «Дагестан-концерт»</t>
  </si>
  <si>
    <t>ГБУ РД «Государственный ансамбль танца Дагестана «Каспий»</t>
  </si>
  <si>
    <t>ГБУ РД «Чародинский государственный народный мужской хор «Поющая Чарода»</t>
  </si>
  <si>
    <t>Итого тетрально-концертная деятельность</t>
  </si>
  <si>
    <t>20 2 06</t>
  </si>
  <si>
    <t>Государственная поддержка творческих союзов</t>
  </si>
  <si>
    <t>20 2 07 62330</t>
  </si>
  <si>
    <t>Мероприятия в сфере культуры и кинематографии</t>
  </si>
  <si>
    <t>20 2 08 64860</t>
  </si>
  <si>
    <t xml:space="preserve">Поддержка мероприятий республиканских и муниципальных учреждений в сфере культуры </t>
  </si>
  <si>
    <t xml:space="preserve"> На поддержку творческой деятельности и укрепление материально-технической базы  муниципальных театров в городах с численностью населения до 300 тысяч человек</t>
  </si>
  <si>
    <t xml:space="preserve">обеспечение развития и укрепления материально-технической базы муниципальных домов культуры в населенных пунктах с числом жителей до 50 тыс. человек </t>
  </si>
  <si>
    <t>субсидии на поддержку творческой деятельности и техническое оснащение детских и кукольных театров</t>
  </si>
  <si>
    <t>Итого подпрограмма "Культура и искусство"</t>
  </si>
  <si>
    <t>20 2</t>
  </si>
  <si>
    <t xml:space="preserve">Врио министра                                         </t>
  </si>
  <si>
    <t>З.Бутаева</t>
  </si>
  <si>
    <t xml:space="preserve">Начальник планово-экономического отдела                                              </t>
  </si>
  <si>
    <t>Д.Нурахмедова</t>
  </si>
  <si>
    <t xml:space="preserve">Перечень мероприятий </t>
  </si>
  <si>
    <t xml:space="preserve"> Министерства культуры РД к проекту бюджета учреждений культуры на 2019 год</t>
  </si>
  <si>
    <t>Наименование мероприятия</t>
  </si>
  <si>
    <t>Сумма 
(тыс. руб.)</t>
  </si>
  <si>
    <t>Исполнители</t>
  </si>
  <si>
    <t>Праздничные мероприятия, посвященные календарным праздникам</t>
  </si>
  <si>
    <t xml:space="preserve">День защитника Отечества </t>
  </si>
  <si>
    <t xml:space="preserve">Международный женский день </t>
  </si>
  <si>
    <t xml:space="preserve">День работников культуры </t>
  </si>
  <si>
    <t>День весны и труда</t>
  </si>
  <si>
    <t>телевизионный Республиканский конкурс – фестиваль «С песней к Победе»</t>
  </si>
  <si>
    <t>День России – концертная программа</t>
  </si>
  <si>
    <t>День работников тетра</t>
  </si>
  <si>
    <t>День Конституции РД – республиканский фестиваль искусств – торжественный вечер</t>
  </si>
  <si>
    <t xml:space="preserve">День Единства народов Дагестана </t>
  </si>
  <si>
    <t xml:space="preserve">День народного единства </t>
  </si>
  <si>
    <t>Фестивали, конкурсы, выставки</t>
  </si>
  <si>
    <t>Каспийский форум</t>
  </si>
  <si>
    <t>Фестиваль национальных театров</t>
  </si>
  <si>
    <t>ГБУ "Дагестанский государственный кумыкский музыкально-драматический театр им. А.-П. Салаватова"</t>
  </si>
  <si>
    <t>Международный фестиваль театров кукол стран БРИКС</t>
  </si>
  <si>
    <t>ГБУ "Дагестанский государственный театр кукол"</t>
  </si>
  <si>
    <t>Международный Фестиваль кросс-национальной музыкальной культуры «Созвучие»</t>
  </si>
  <si>
    <t>V Международный фестиваль российских регионов и прикаспийских государств "Каспий - берега дружбы"</t>
  </si>
  <si>
    <t xml:space="preserve">Международный музыкальный фестиваль «Порт-Петровские ассамблеи» </t>
  </si>
  <si>
    <t>Проведение  IV Международного открытого фестиваля духовых оркестров «Дагестанские фанфары»</t>
  </si>
  <si>
    <t xml:space="preserve">Проведение Девятнадцатого регионального музыкального фестиваля юных исполнителей  </t>
  </si>
  <si>
    <t>Проведение Четвертогоо Дагестанского Форума современной музыки  "Творческие пересечения"</t>
  </si>
  <si>
    <t>Проведение концертов "Студенты консерваторий России на сцене Дагестанской филармонии"</t>
  </si>
  <si>
    <t>Реализация проекта "Мастера сцены жителям села"</t>
  </si>
  <si>
    <t>Реализация проекта "Музыкальная гостиная"</t>
  </si>
  <si>
    <t>Реализация проекта "Культура   детям Дагестана"</t>
  </si>
  <si>
    <t xml:space="preserve">Республиканский Фестиваль -конкурс моноспектаклей РД </t>
  </si>
  <si>
    <t>ГБУ РД "Театр поэзии"</t>
  </si>
  <si>
    <t>Проведение юбилейных мероприятий деятелей литературы, культуры и искусства РФ, РД</t>
  </si>
  <si>
    <t xml:space="preserve">Организация и проведение Фестиваля культуры и спорта народов Кавказа  ("Кавказские игры") </t>
  </si>
  <si>
    <t xml:space="preserve">Проведение обменных выставок коллекций живописи, графики и декоративно-прикладного искусства в музеях субъектов РФ </t>
  </si>
  <si>
    <t>16 выставочных проектов по 430,0 тыс. руб. (средняя стоимость одной выставки) Республиканские музеи</t>
  </si>
  <si>
    <t>Создание электронной библиотеки в Государственном бюджетном учреждении «Национальная библиотека Республики Дагестан им. Р. Гамзатова»</t>
  </si>
  <si>
    <t>Республиканский фестиваль детского художественного творчества «Маленькие горцы»</t>
  </si>
  <si>
    <t>Международный фестиваль патриотической песни «Журавли над Россией»</t>
  </si>
  <si>
    <t xml:space="preserve">Международный фестиваль исполнителей на народных инструментах «Играй, душа» </t>
  </si>
  <si>
    <t xml:space="preserve">Республиканский фестиваль семейного художественного творчества «Семья Дагестана» </t>
  </si>
  <si>
    <t>Республиканский праздник циркого искусства «Пагъламан»</t>
  </si>
  <si>
    <t>Республиканский праздник встречи весны «Новруз»</t>
  </si>
  <si>
    <t>XVI Республиканский фестиваль народных театров «Наследие»</t>
  </si>
  <si>
    <t>Организация фестивалей народного творчества и традиционной культуры в муниципальных образованиях Республики Дагестан:фестивалей русской народной культуры «Масленица», казачьей народной культуры «Слава казачья»</t>
  </si>
  <si>
    <t>Проведение праздника славянской письменности и культуры «День Кирилла и Мефодия»</t>
  </si>
  <si>
    <t xml:space="preserve">Республиканский фестиваль народного творчества «Россия-Родина моя» </t>
  </si>
  <si>
    <t>Фестиваль видео творчества, патриотических программ "Радуга"</t>
  </si>
  <si>
    <t>Дни народного творчества Республики Дагестан в Костромской области</t>
  </si>
  <si>
    <t>Дни народного творчества Костромской области в Республике Дагестан</t>
  </si>
  <si>
    <t>Цетрализованные мероприятия 
в том числе:</t>
  </si>
  <si>
    <t xml:space="preserve">Министерство культуры РД </t>
  </si>
  <si>
    <t>Проведение Дней культуры Республики Дагестан в городах России в течение года, в том числе в местах компактного проживания дагестанской диаспоры (Санкт-Петербург)</t>
  </si>
  <si>
    <t>Проведение июбилейных мероприятий деятелей литературы, культуры и искусства РФ, РД</t>
  </si>
  <si>
    <t>Проведение конкурса драматургов, композиторов, в том числе молодых, на создание произведений для театров и концертных организаций Дагестана</t>
  </si>
  <si>
    <t>Всероссийский день памяти "Белые журавли"</t>
  </si>
  <si>
    <t xml:space="preserve">Всего </t>
  </si>
  <si>
    <t>ГБУ "Дагестанская государственная филармония им. Т. Мурадова"</t>
  </si>
  <si>
    <t>ГБУ "Дагестан-концерт"</t>
  </si>
  <si>
    <t>Детализация материальных затрат учреждений культуры, находящихся в ведении Министерства культуры Республики Дагестан к проекту бюджета на 2019 год</t>
  </si>
  <si>
    <t>Наименование учреждения</t>
  </si>
  <si>
    <t>Расходы по усилению противопожарной безопасности учреждений</t>
  </si>
  <si>
    <t>Аттестация рабочих мест исполнение требований № 426 – ФЗ «О специальной оценке условий труда»</t>
  </si>
  <si>
    <t>Охрана и аренда обьектов</t>
  </si>
  <si>
    <t>Автострахование</t>
  </si>
  <si>
    <t>Содержание имущества (вывоз мусора+ дератизация)</t>
  </si>
  <si>
    <t>Обслуживанипе программного обеспечения  установка и обслуживание системы КонсультатнтПлюс, установка и информационно-техническое сопровождение программы "1С-предприятие"</t>
  </si>
  <si>
    <t>ГСМ, запчасти к транспортным средствам, канцелярские и хозяйственные товары 340 ст.</t>
  </si>
  <si>
    <t>Капитальный ремонт</t>
  </si>
  <si>
    <t>Расходы учреждений связанные с основной деятельностью (исполнением государственного задания)</t>
  </si>
  <si>
    <t>Мероприятия</t>
  </si>
  <si>
    <t>Приобретение
310 ст.</t>
  </si>
  <si>
    <t xml:space="preserve">Целевые расходы </t>
  </si>
  <si>
    <t>Сумма</t>
  </si>
  <si>
    <t>наименование расходов</t>
  </si>
  <si>
    <t>ГБУК "Республиканский дом народного творчества"</t>
  </si>
  <si>
    <t>13 950 - проведение мероприятий</t>
  </si>
  <si>
    <t xml:space="preserve">2580 - реализация выставочных проектов (430*6=2580) 
10500- пополнение музейных фондов
9945 - создание новых экспозиций в филиалах
1820,3 - приобретение автотранспорта
4226,9 -установка системы видеонаблюдения
1859 - приобретение систем видеонаблюдения для 11 филиалов
940- приобретение стульев
530-приобретение гигрометра
840- приобретение пуфиков -сидений для посетителей
</t>
  </si>
  <si>
    <t>ГБУ "Дагестанский музей изобразительных искусств им. П.С. Гамзатовой"</t>
  </si>
  <si>
    <t>1720 - реализация выставочных проектов (430*4=1720) 
3250- пополнение музейных фондов
1122,4+250-издание альбомов и буклетов
12700,5 - Установка и монтаж современной системы освещения и затемнения для поддержания светового режима в помещениях музея
900-приобретение интерактивных столов
3000 - приобретение оборудования для хранения графики и живописи</t>
  </si>
  <si>
    <t>ГБУ "Дербентский государственный историко-архитектурный и художественный музей-заповедник"</t>
  </si>
  <si>
    <t xml:space="preserve">1720 - реализация выставочных проектов (430*4=1720)
1900- пополнение музейных фондов
1407+1400 - приобретение автотранспорта
1000-издание альбомов и буклетов
450 - инвентаризация объектов культурного наследия
2000-приобретение робота гида
5000 - проведение мероприятий в рамках государственного задания
</t>
  </si>
  <si>
    <t>ГБУ "Музей-заповедник – этнографический комплекс "Дагестанский аул"</t>
  </si>
  <si>
    <t xml:space="preserve">430 - реализация выставочных проектов 
(430*1=430)
10970- пополнение музейных фондов
1650 - приобретение транспорта
548-приобретение промовизора
1240,4 - приобретение интерактивного стола
</t>
  </si>
  <si>
    <t>ГБУ РД "Музей истории мировых культур и религий"</t>
  </si>
  <si>
    <t>1425 - приобретение траспорта
1725-пополнение музейного фонда
430 - реализация выставочных проектов 
(430*1=430)
450- оцифровка храмов
299-панорамная камера
280 - приобретение автономного шлема виртуальной реальности</t>
  </si>
  <si>
    <t>ГБУ "Национальная библиотека Республики Дагестан им. Р. Гамзатова"</t>
  </si>
  <si>
    <t xml:space="preserve">500- комплектование книжных фондов
1000 - подписка периодики;
</t>
  </si>
  <si>
    <t xml:space="preserve">ГБУ "Республиканская детская библиотека им. Н. Юсупова"
</t>
  </si>
  <si>
    <t xml:space="preserve">300 - подписка периодики;
500- комплектование книжных фондов
250- пополнение библиотечного фонда
255 - проведение мероприятий в рамках государственного задания
</t>
  </si>
  <si>
    <t>ГБУ "Республиканская специальная библиотека для слепых"</t>
  </si>
  <si>
    <t>200-программа для создания электроноого каталога
160- приобретение говорящих книг на флешках
450-приобретение автотранспорта</t>
  </si>
  <si>
    <t xml:space="preserve">ГБУ "Государственный республиканский русский драматический театр им. М. Горького"
</t>
  </si>
  <si>
    <t>1200 - День России
2450 - Кавказские игры
4865 - Каспийский форум
550 - День работников культуры
500 - День работников тетра
5000 -  звуковое оборудование
5000  - световое оборудование
8960 - светодиодный экран
1200 - грузавой автотранспорт
1600 -  пассажирская газель
2000 - постановочные расходы</t>
  </si>
  <si>
    <t>ГБУ "Аварский музыкально-драматический театр им. Г. Цадасы"</t>
  </si>
  <si>
    <t>2000 - постановочные расходы
1027,1- микшерный пульт
840 - мультимедийный проектор</t>
  </si>
  <si>
    <r>
      <t>950 - служебный автотранспорт
2400 - грузовые газели 2 ед.
2721,7 - звуковое оборудование</t>
    </r>
    <r>
      <rPr>
        <u/>
        <sz val="16"/>
        <rFont val="Times New Roman"/>
        <family val="1"/>
        <charset val="204"/>
      </rPr>
      <t xml:space="preserve">
</t>
    </r>
    <r>
      <rPr>
        <sz val="16"/>
        <rFont val="Times New Roman"/>
        <family val="1"/>
        <charset val="204"/>
      </rPr>
      <t>9947,9 - световое оборудование
8000 - фестиваль национальных театров
2000 - постановочные расходы</t>
    </r>
  </si>
  <si>
    <t xml:space="preserve">ГБУ "Даргинский государственный музыкально-драматический театр им. О. Батырая"
</t>
  </si>
  <si>
    <t>950 - служебный автотранспорт
1200 - грузовая газель
2800 - автобус ПАЗ
1500 - постановочные расходы</t>
  </si>
  <si>
    <t>ГБУ "Государственный лезгинский музыкально-драматический театр им. С. Стальского"</t>
  </si>
  <si>
    <t>950 - служебный автотранспорт
1200 -   грузовая газель
1600 -  микроавтобус газель Next
1500- постановочные расходы</t>
  </si>
  <si>
    <t>ГБУ "Лакский государственный музыкально-драматический театр им. Э. Капиева"</t>
  </si>
  <si>
    <t>950 - служебный автотранспорт
1200 -   грузовая газель
1600 -  микроавтобус газель Next
 225 - головные микрофоны
2000- постановочные расходы</t>
  </si>
  <si>
    <t>950 - служебный автотранспорт
3700 - автобус Higer KLQ 6826Q
8340 - Международный фестиваль театров кукол стран БРИКС:
900- постановочные расходы</t>
  </si>
  <si>
    <t>ГБУ "Дагестанский государственный театр оперы и балета"</t>
  </si>
  <si>
    <t>950 - служебный автотранспорт
4700 -  автобус КАВЗ 423861
2250 - постановочные расходы
1600 -  микроавтобус газель Next
500 -головные микрофоны</t>
  </si>
  <si>
    <t>ГБУ "Азербайджанский государственный драматический театр"</t>
  </si>
  <si>
    <t>950 - служебный автотранспорт
3626 - автобуса Mercedes-Benz Sprinter Tourist 19+1
1000 - постановочные расходы</t>
  </si>
  <si>
    <t>ГБУ "Государственный ногайский драматический театр"</t>
  </si>
  <si>
    <t>950 - служебный автотранспорт
1600 -  микроавтобус газель Next
1000- постановочные расходы</t>
  </si>
  <si>
    <t>ГБУ "Государственный табасаранский драматический театр"</t>
  </si>
  <si>
    <t>950 - служебный автотранспорт
1200 -  грузовая газели
1600 -  микроавтобус газель Next
1000- постановочные расходы</t>
  </si>
  <si>
    <t xml:space="preserve">2000 - проведение юбилейных мероприятий деятелей литературы, культуры и искусства РФ, РД
1045,4 - Республиканский Фестиваль -конкурс моноспектаклей РД 
1600 - микроавтобус газель Next
500 -  дорожка </t>
  </si>
  <si>
    <t xml:space="preserve">2495  - приобретение музыкальных инструментов
1500 - Порт - Петроские ассамблеи
1250- Дагестанские фанфары;
850 - Девятнадцатый региональный музыкальный фестиваль юных исполнителей;
980 - Четвертый Дагестанский Форума современной музыки  "Творческие пересечения";
150 - концерты "Студенты консерваторий России на сцене Дагестанской филармонии";
150 - проект "Мастера сцены жителям села";
100 - проект "Музыкальная гостиная";
160 - проект "Культура   детям Дагестана;
200 - запись фонограм;
2370 - переносная звуковая аппаратура 5 квт. (акустика , усилители, обработка) комплект;
104 - концертные костюмы коллективу Вокально инстументального ансамбля " Волна"; и"В восточном стиле"; 
1705 - грузовой автомобиль ГАЗон NEXT;
1500 - микроавтобус ГАЗель NEXT;
</t>
  </si>
  <si>
    <t xml:space="preserve">800 -  служебный автомобиль Hyundai Solaris;
4700 - автобус КАВЗ 423861;
630 - сценические костюмы;
</t>
  </si>
  <si>
    <t>ГБУ "Государственный ансамбль танца народов Кавказа "Молодость Дагестана"</t>
  </si>
  <si>
    <t>500 - сценические костюмы женские;
1500 - микроавтобус ГАЗель NEXT</t>
  </si>
  <si>
    <t>ГБУ "Ногайский государственный оркестр народных инструментов"</t>
  </si>
  <si>
    <t>400 -  артистические костюмы
800 - служебный автомобиль Hyundai Solaris
1500 - микроавтобус ГАЗель NEXT</t>
  </si>
  <si>
    <t>ГБУ "Государственный кизлярский терский ансамбль казачьей песни"</t>
  </si>
  <si>
    <t>260 - концертный баян ТУЛА БН-24;
37 - офисный ПК Intel Pentium G4560;
40 - ноутбук DELL Inspiron 5378 (5378-7841);
31 - микрофон ОКТАВА МК-105 ПРОФЕССИОНАЛЬНЫЙ;
50 - микшерный пульт BEHRINGER PMP4000;
100 - активные колонки YAMAHA DSR115.</t>
  </si>
  <si>
    <t>ГБУ "Государственный оркестр народных инструментов Республики Дагестан"</t>
  </si>
  <si>
    <t>800 - служебный автомобиля Hyundai Solaris
1500 - микроавтобус ГАЗель NEXT;
400 - национальный гармонь.</t>
  </si>
  <si>
    <t>ГБУ "Государственный ногайский фольклорно-этнографический ансамбль "Айланай"</t>
  </si>
  <si>
    <t>1500 - микроавтобус ГАЗель NEXT 7-ми местный цельнометаллический; 
800 - служебный автомобиля Hyundai Solaris$
136 - микшер Dynacord CMS 1000-3;
182 - акустическая система;
161 - активный сабвуфер;
47,2 - SHURE GLXD2/SM86 Z2 2.4 GHz ручной передатчик для цифровых радиосистем с капсюлем конденсаторного микрофона SM86;
78,63 - радиосистема с головным микрофоном ME 3-II Sennheiser XSW 1-ME3-A;
57,26 - микрофон конденсаторный кардиоидный с переключаемой диаграммой направленности, 20-20000Гц, 20мВ/Па.</t>
  </si>
  <si>
    <t xml:space="preserve">ГБУ "Академический заслуженный ансамбль танца Дагестана "Лезгинка" </t>
  </si>
  <si>
    <t>7716,5 -  костюмы для артистического персонала;
3200 - аренда залов и оборудования в целях организации и проведения мероприятий;
2223 - комплект для костюмов артистов танца (сабли, ичиги, щиты, гримм и т.д.);
3170 - транспортные расходы (согласно ценам на билеты)</t>
  </si>
  <si>
    <t>1500 -  мероприятие посвященное 23 февраля;
2000 -  мероприятие посвященноеМеждународному женскому дню 8 марта;
1000 -  мероприятие посвященное 1 мая;
3000 -  телевизионный Республиканский конкурс – фестиваль «С песней к Победе»;
3000 -  мероприятие посвященное Дню конституции Республики Дагестан 2018 г.;
2500 -  мероприятие посвященное Дню единства народов Дагестана;
5940,1 - Международный Фестиваль кросс-национальной музыкальной культуры «Созвучие»;
200 - ремонт светодиодного экрана.</t>
  </si>
  <si>
    <t>ГБУ РД "Государственный ансамбль танца Дагестана "Каспий"</t>
  </si>
  <si>
    <t>1470 - костюмы для артистического персонала;
1870 - микроавтобус Ford tranzit 460 (19+6).</t>
  </si>
  <si>
    <t>ГБУ РД "Чародинский государственный народный мужской хор "Поющая Чарода"</t>
  </si>
  <si>
    <t xml:space="preserve">733,7 - концертная аппаратура;
800 - автомобиль Hyundai Solaris;
1500 - микроавтобус ГАЗель NEXT;
156,15 - офисная мебель.
</t>
  </si>
  <si>
    <r>
      <t xml:space="preserve">Мероприятия в сфере культуры и кинематографии
</t>
    </r>
    <r>
      <rPr>
        <sz val="11"/>
        <color indexed="10"/>
        <rFont val="Times New Roman"/>
        <family val="1"/>
        <charset val="204"/>
      </rPr>
      <t/>
    </r>
  </si>
  <si>
    <t>15 513,0 - Дни культуры в Санкт Петербурге;
1750,0 - юбилейные мероприятия деятелей литературы, культуры и искусства РФ, РД, проводимые на республиканском уровне;
457,8 - целевая подготовка художественно-постановочных кадров (режиссеров, дирижеров, балетмейстеров) в центральных вузах России, а также музыкантов оркестров для театров и концертных организаций республики (на договорных условиях)); 
3696,0 - заказ на предметы изобразительного искусства;
300,0 - заказ на написание музыкальных сочинений;
300,0 заказ на написание драматургических произведений;
500,0 - проведение конкурса драматургов, композиторов, в том числе молодых, на создание произведений для театров и концертных организаций Дагестана; 
600,0 - Всероссийский день памяти "Белые журавли".</t>
  </si>
  <si>
    <t xml:space="preserve">                                                                   Начальник планово - экономического отдела 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</si>
</sst>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"/>
    <numFmt numFmtId="165" formatCode="_(* #,##0.00_);_(* \(#,##0.00\);_(* &quot;-&quot;??_);_(@_)"/>
    <numFmt numFmtId="166" formatCode="#,##0.000"/>
  </numFmts>
  <fonts count="28">
    <font>
      <sz val="10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0"/>
      <name val="Arial Cyr"/>
      <charset val="204"/>
    </font>
    <font>
      <b/>
      <sz val="12"/>
      <name val="Arial Cyr"/>
      <charset val="204"/>
    </font>
    <font>
      <b/>
      <sz val="14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10"/>
      <name val="Arial Cyr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6"/>
      <color indexed="10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u/>
      <sz val="16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179">
    <xf numFmtId="0" fontId="0" fillId="0" borderId="0" xfId="0"/>
    <xf numFmtId="0" fontId="3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" fontId="8" fillId="0" borderId="2" xfId="0" applyNumberFormat="1" applyFont="1" applyFill="1" applyBorder="1" applyAlignment="1">
      <alignment horizontal="center" vertical="top" wrapText="1"/>
    </xf>
    <xf numFmtId="1" fontId="8" fillId="0" borderId="1" xfId="0" applyNumberFormat="1" applyFont="1" applyFill="1" applyBorder="1" applyAlignment="1">
      <alignment horizontal="center" vertical="top" wrapText="1"/>
    </xf>
    <xf numFmtId="1" fontId="8" fillId="0" borderId="3" xfId="0" applyNumberFormat="1" applyFont="1" applyFill="1" applyBorder="1" applyAlignment="1">
      <alignment horizontal="center" vertical="top" wrapText="1"/>
    </xf>
    <xf numFmtId="1" fontId="8" fillId="0" borderId="4" xfId="0" applyNumberFormat="1" applyFont="1" applyFill="1" applyBorder="1" applyAlignment="1">
      <alignment horizontal="center" vertical="top" wrapText="1"/>
    </xf>
    <xf numFmtId="0" fontId="9" fillId="0" borderId="5" xfId="12" applyFont="1" applyFill="1" applyBorder="1" applyAlignment="1">
      <alignment horizontal="center" vertical="top" wrapText="1"/>
    </xf>
    <xf numFmtId="2" fontId="9" fillId="0" borderId="5" xfId="0" applyNumberFormat="1" applyFont="1" applyFill="1" applyBorder="1" applyAlignment="1">
      <alignment horizontal="left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164" fontId="11" fillId="0" borderId="5" xfId="0" applyNumberFormat="1" applyFont="1" applyFill="1" applyBorder="1" applyAlignment="1">
      <alignment horizontal="right" vertical="top" wrapText="1"/>
    </xf>
    <xf numFmtId="164" fontId="9" fillId="0" borderId="5" xfId="0" applyNumberFormat="1" applyFont="1" applyFill="1" applyBorder="1" applyAlignment="1">
      <alignment horizontal="right" vertical="top" wrapText="1"/>
    </xf>
    <xf numFmtId="0" fontId="12" fillId="0" borderId="0" xfId="0" applyFont="1" applyFill="1" applyAlignment="1">
      <alignment vertical="top" wrapText="1"/>
    </xf>
    <xf numFmtId="0" fontId="11" fillId="0" borderId="5" xfId="12" applyFont="1" applyFill="1" applyBorder="1" applyAlignment="1">
      <alignment horizontal="center" vertical="top" wrapText="1"/>
    </xf>
    <xf numFmtId="2" fontId="11" fillId="0" borderId="5" xfId="0" applyNumberFormat="1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 wrapText="1"/>
    </xf>
    <xf numFmtId="0" fontId="14" fillId="0" borderId="5" xfId="12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left" vertical="top" wrapText="1"/>
    </xf>
    <xf numFmtId="3" fontId="15" fillId="0" borderId="5" xfId="0" applyNumberFormat="1" applyFont="1" applyFill="1" applyBorder="1" applyAlignment="1">
      <alignment horizontal="center" vertical="top" wrapText="1"/>
    </xf>
    <xf numFmtId="164" fontId="15" fillId="0" borderId="5" xfId="0" applyNumberFormat="1" applyFont="1" applyFill="1" applyBorder="1" applyAlignment="1">
      <alignment horizontal="right" vertical="top" wrapText="1"/>
    </xf>
    <xf numFmtId="164" fontId="14" fillId="0" borderId="5" xfId="0" applyNumberFormat="1" applyFont="1" applyFill="1" applyBorder="1" applyAlignment="1">
      <alignment horizontal="right" vertical="top" wrapText="1"/>
    </xf>
    <xf numFmtId="0" fontId="16" fillId="0" borderId="0" xfId="0" applyFont="1" applyFill="1" applyAlignment="1">
      <alignment vertical="top" wrapText="1"/>
    </xf>
    <xf numFmtId="164" fontId="15" fillId="0" borderId="1" xfId="0" applyNumberFormat="1" applyFont="1" applyFill="1" applyBorder="1" applyAlignment="1">
      <alignment horizontal="right" vertical="top" wrapText="1"/>
    </xf>
    <xf numFmtId="164" fontId="14" fillId="0" borderId="5" xfId="0" applyNumberFormat="1" applyFont="1" applyFill="1" applyBorder="1" applyAlignment="1">
      <alignment horizontal="left" vertical="top" wrapText="1"/>
    </xf>
    <xf numFmtId="164" fontId="15" fillId="0" borderId="2" xfId="0" applyNumberFormat="1" applyFont="1" applyFill="1" applyBorder="1" applyAlignment="1">
      <alignment horizontal="right" vertical="top" wrapText="1"/>
    </xf>
    <xf numFmtId="0" fontId="4" fillId="0" borderId="5" xfId="12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/>
    </xf>
    <xf numFmtId="49" fontId="8" fillId="0" borderId="5" xfId="0" applyNumberFormat="1" applyFont="1" applyFill="1" applyBorder="1" applyAlignment="1">
      <alignment horizontal="center" vertical="top" wrapText="1"/>
    </xf>
    <xf numFmtId="164" fontId="11" fillId="2" borderId="5" xfId="0" applyNumberFormat="1" applyFont="1" applyFill="1" applyBorder="1" applyAlignment="1">
      <alignment horizontal="right" vertical="top" wrapText="1"/>
    </xf>
    <xf numFmtId="0" fontId="15" fillId="3" borderId="5" xfId="0" applyFont="1" applyFill="1" applyBorder="1" applyAlignment="1">
      <alignment horizontal="left" vertical="top" wrapText="1"/>
    </xf>
    <xf numFmtId="0" fontId="17" fillId="3" borderId="5" xfId="0" applyFont="1" applyFill="1" applyBorder="1" applyAlignment="1">
      <alignment vertical="top" wrapText="1"/>
    </xf>
    <xf numFmtId="0" fontId="14" fillId="4" borderId="5" xfId="0" applyFont="1" applyFill="1" applyBorder="1" applyAlignment="1">
      <alignment vertical="top" wrapText="1"/>
    </xf>
    <xf numFmtId="3" fontId="15" fillId="4" borderId="5" xfId="0" applyNumberFormat="1" applyFont="1" applyFill="1" applyBorder="1" applyAlignment="1">
      <alignment horizontal="center" vertical="top" wrapText="1"/>
    </xf>
    <xf numFmtId="164" fontId="15" fillId="4" borderId="5" xfId="0" applyNumberFormat="1" applyFont="1" applyFill="1" applyBorder="1" applyAlignment="1">
      <alignment horizontal="right" vertical="top" wrapText="1"/>
    </xf>
    <xf numFmtId="164" fontId="14" fillId="4" borderId="5" xfId="0" applyNumberFormat="1" applyFont="1" applyFill="1" applyBorder="1" applyAlignment="1">
      <alignment horizontal="right" vertical="top" wrapText="1"/>
    </xf>
    <xf numFmtId="0" fontId="9" fillId="0" borderId="0" xfId="12" applyFont="1" applyFill="1" applyBorder="1" applyAlignment="1">
      <alignment horizontal="center" vertical="top" wrapText="1"/>
    </xf>
    <xf numFmtId="0" fontId="14" fillId="0" borderId="0" xfId="12" applyFont="1" applyFill="1" applyBorder="1" applyAlignment="1">
      <alignment vertical="top" wrapText="1"/>
    </xf>
    <xf numFmtId="0" fontId="15" fillId="0" borderId="0" xfId="12" applyFont="1" applyFill="1" applyBorder="1" applyAlignment="1">
      <alignment horizontal="center" vertical="top" wrapText="1"/>
    </xf>
    <xf numFmtId="164" fontId="15" fillId="0" borderId="0" xfId="0" applyNumberFormat="1" applyFont="1" applyFill="1" applyBorder="1" applyAlignment="1">
      <alignment horizontal="right" vertical="top" wrapText="1"/>
    </xf>
    <xf numFmtId="164" fontId="14" fillId="0" borderId="0" xfId="0" applyNumberFormat="1" applyFont="1" applyFill="1" applyBorder="1" applyAlignment="1">
      <alignment horizontal="right" vertical="top" wrapText="1"/>
    </xf>
    <xf numFmtId="164" fontId="18" fillId="0" borderId="0" xfId="0" applyNumberFormat="1" applyFont="1" applyFill="1" applyAlignment="1">
      <alignment horizontal="left" vertical="top" wrapText="1"/>
    </xf>
    <xf numFmtId="0" fontId="19" fillId="0" borderId="0" xfId="0" applyFont="1" applyFill="1" applyAlignment="1">
      <alignment vertical="top" wrapText="1"/>
    </xf>
    <xf numFmtId="164" fontId="18" fillId="0" borderId="0" xfId="0" applyNumberFormat="1" applyFont="1" applyFill="1" applyBorder="1" applyAlignment="1">
      <alignment vertical="top" wrapText="1"/>
    </xf>
    <xf numFmtId="0" fontId="11" fillId="0" borderId="0" xfId="0" applyFont="1" applyFill="1" applyAlignment="1">
      <alignment horizontal="center" vertical="top" wrapText="1"/>
    </xf>
    <xf numFmtId="0" fontId="11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top" wrapText="1"/>
    </xf>
    <xf numFmtId="164" fontId="17" fillId="0" borderId="0" xfId="0" applyNumberFormat="1" applyFont="1" applyFill="1" applyBorder="1" applyAlignment="1">
      <alignment vertical="top" wrapText="1"/>
    </xf>
    <xf numFmtId="164" fontId="8" fillId="0" borderId="0" xfId="0" applyNumberFormat="1" applyFont="1" applyFill="1" applyBorder="1" applyAlignment="1">
      <alignment vertical="top" wrapText="1"/>
    </xf>
    <xf numFmtId="164" fontId="11" fillId="0" borderId="0" xfId="0" applyNumberFormat="1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1" fontId="8" fillId="0" borderId="0" xfId="0" applyNumberFormat="1" applyFont="1" applyFill="1" applyBorder="1" applyAlignment="1">
      <alignment vertical="top" wrapText="1"/>
    </xf>
    <xf numFmtId="0" fontId="17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11" fillId="0" borderId="0" xfId="0" applyFont="1" applyAlignment="1">
      <alignment vertical="top"/>
    </xf>
    <xf numFmtId="0" fontId="11" fillId="0" borderId="0" xfId="0" applyFont="1" applyBorder="1" applyAlignment="1">
      <alignment vertical="top"/>
    </xf>
    <xf numFmtId="0" fontId="4" fillId="0" borderId="5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164" fontId="4" fillId="0" borderId="5" xfId="5" applyNumberFormat="1" applyFont="1" applyFill="1" applyBorder="1" applyAlignment="1">
      <alignment vertical="top" wrapText="1"/>
    </xf>
    <xf numFmtId="0" fontId="4" fillId="0" borderId="5" xfId="5" applyFont="1" applyFill="1" applyBorder="1" applyAlignment="1">
      <alignment vertical="top" wrapText="1"/>
    </xf>
    <xf numFmtId="0" fontId="11" fillId="2" borderId="5" xfId="5" applyFont="1" applyFill="1" applyBorder="1" applyAlignment="1">
      <alignment horizontal="center" vertical="top" wrapText="1"/>
    </xf>
    <xf numFmtId="4" fontId="11" fillId="2" borderId="5" xfId="5" applyNumberFormat="1" applyFont="1" applyFill="1" applyBorder="1" applyAlignment="1">
      <alignment vertical="top" wrapText="1"/>
    </xf>
    <xf numFmtId="164" fontId="11" fillId="2" borderId="5" xfId="0" applyNumberFormat="1" applyFont="1" applyFill="1" applyBorder="1" applyAlignment="1">
      <alignment vertical="top"/>
    </xf>
    <xf numFmtId="0" fontId="21" fillId="0" borderId="0" xfId="0" applyFont="1" applyFill="1" applyBorder="1" applyAlignment="1">
      <alignment horizontal="left" vertical="top" wrapText="1"/>
    </xf>
    <xf numFmtId="2" fontId="11" fillId="2" borderId="5" xfId="0" applyNumberFormat="1" applyFont="1" applyFill="1" applyBorder="1" applyAlignment="1">
      <alignment horizontal="left" vertical="top" wrapText="1"/>
    </xf>
    <xf numFmtId="4" fontId="11" fillId="2" borderId="5" xfId="3" applyNumberFormat="1" applyFont="1" applyFill="1" applyBorder="1" applyAlignment="1">
      <alignment vertical="top" wrapText="1"/>
    </xf>
    <xf numFmtId="164" fontId="11" fillId="0" borderId="0" xfId="0" applyNumberFormat="1" applyFont="1" applyAlignment="1">
      <alignment vertical="top"/>
    </xf>
    <xf numFmtId="164" fontId="11" fillId="2" borderId="5" xfId="0" applyNumberFormat="1" applyFont="1" applyFill="1" applyBorder="1" applyAlignment="1">
      <alignment vertical="top" wrapText="1"/>
    </xf>
    <xf numFmtId="4" fontId="4" fillId="2" borderId="5" xfId="5" applyNumberFormat="1" applyFont="1" applyFill="1" applyBorder="1" applyAlignment="1">
      <alignment vertical="top" wrapText="1"/>
    </xf>
    <xf numFmtId="3" fontId="11" fillId="2" borderId="5" xfId="5" applyNumberFormat="1" applyFont="1" applyFill="1" applyBorder="1" applyAlignment="1">
      <alignment horizontal="center" vertical="top" wrapText="1"/>
    </xf>
    <xf numFmtId="4" fontId="11" fillId="2" borderId="5" xfId="5" applyNumberFormat="1" applyFont="1" applyFill="1" applyBorder="1" applyAlignment="1">
      <alignment horizontal="left" vertical="top" wrapText="1"/>
    </xf>
    <xf numFmtId="4" fontId="11" fillId="2" borderId="6" xfId="5" applyNumberFormat="1" applyFont="1" applyFill="1" applyBorder="1" applyAlignment="1">
      <alignment horizontal="right" vertical="top" wrapText="1"/>
    </xf>
    <xf numFmtId="0" fontId="11" fillId="0" borderId="5" xfId="0" applyFont="1" applyBorder="1" applyAlignment="1">
      <alignment horizontal="left" vertical="top" wrapText="1"/>
    </xf>
    <xf numFmtId="166" fontId="11" fillId="2" borderId="5" xfId="16" applyNumberFormat="1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vertical="top" wrapText="1"/>
    </xf>
    <xf numFmtId="0" fontId="14" fillId="2" borderId="5" xfId="0" applyFont="1" applyFill="1" applyBorder="1" applyAlignment="1">
      <alignment vertical="top" wrapText="1"/>
    </xf>
    <xf numFmtId="164" fontId="4" fillId="2" borderId="5" xfId="0" applyNumberFormat="1" applyFont="1" applyFill="1" applyBorder="1" applyAlignment="1">
      <alignment vertical="top"/>
    </xf>
    <xf numFmtId="0" fontId="11" fillId="0" borderId="5" xfId="0" applyFont="1" applyBorder="1" applyAlignment="1">
      <alignment vertical="top" wrapText="1"/>
    </xf>
    <xf numFmtId="164" fontId="11" fillId="0" borderId="0" xfId="0" applyNumberFormat="1" applyFont="1" applyBorder="1" applyAlignment="1">
      <alignment vertical="top"/>
    </xf>
    <xf numFmtId="0" fontId="11" fillId="0" borderId="5" xfId="0" applyFont="1" applyBorder="1" applyAlignment="1">
      <alignment vertical="top"/>
    </xf>
    <xf numFmtId="0" fontId="4" fillId="0" borderId="0" xfId="0" applyFont="1" applyBorder="1" applyAlignment="1">
      <alignment horizontal="left" vertical="top"/>
    </xf>
    <xf numFmtId="164" fontId="4" fillId="2" borderId="0" xfId="0" applyNumberFormat="1" applyFont="1" applyFill="1" applyBorder="1" applyAlignment="1">
      <alignment vertical="top"/>
    </xf>
    <xf numFmtId="0" fontId="4" fillId="0" borderId="0" xfId="0" applyFont="1" applyFill="1" applyAlignment="1">
      <alignment vertical="top" wrapText="1"/>
    </xf>
    <xf numFmtId="164" fontId="4" fillId="0" borderId="0" xfId="0" applyNumberFormat="1" applyFont="1" applyFill="1" applyAlignment="1">
      <alignment horizontal="left" vertical="top" wrapText="1"/>
    </xf>
    <xf numFmtId="164" fontId="4" fillId="0" borderId="0" xfId="0" applyNumberFormat="1" applyFont="1" applyFill="1" applyBorder="1" applyAlignment="1">
      <alignment horizontal="left" vertical="top" wrapText="1"/>
    </xf>
    <xf numFmtId="0" fontId="11" fillId="2" borderId="0" xfId="0" applyFont="1" applyFill="1" applyAlignment="1">
      <alignment vertical="top"/>
    </xf>
    <xf numFmtId="4" fontId="11" fillId="0" borderId="0" xfId="0" applyNumberFormat="1" applyFont="1" applyAlignment="1">
      <alignment vertical="top"/>
    </xf>
    <xf numFmtId="2" fontId="11" fillId="2" borderId="2" xfId="0" applyNumberFormat="1" applyFont="1" applyFill="1" applyBorder="1" applyAlignment="1">
      <alignment horizontal="left" vertical="top" wrapText="1"/>
    </xf>
    <xf numFmtId="0" fontId="21" fillId="0" borderId="0" xfId="0" applyFont="1" applyAlignment="1">
      <alignment vertical="top"/>
    </xf>
    <xf numFmtId="164" fontId="21" fillId="0" borderId="5" xfId="0" applyNumberFormat="1" applyFont="1" applyFill="1" applyBorder="1" applyAlignment="1">
      <alignment horizontal="center" vertical="top" wrapText="1"/>
    </xf>
    <xf numFmtId="2" fontId="21" fillId="0" borderId="5" xfId="0" applyNumberFormat="1" applyFont="1" applyFill="1" applyBorder="1" applyAlignment="1">
      <alignment horizontal="left" vertical="top" wrapText="1"/>
    </xf>
    <xf numFmtId="164" fontId="21" fillId="0" borderId="5" xfId="0" applyNumberFormat="1" applyFont="1" applyFill="1" applyBorder="1" applyAlignment="1">
      <alignment horizontal="right" vertical="top" wrapText="1"/>
    </xf>
    <xf numFmtId="164" fontId="21" fillId="2" borderId="5" xfId="0" applyNumberFormat="1" applyFont="1" applyFill="1" applyBorder="1" applyAlignment="1">
      <alignment horizontal="right" vertical="top" wrapText="1"/>
    </xf>
    <xf numFmtId="164" fontId="21" fillId="0" borderId="5" xfId="0" applyNumberFormat="1" applyFont="1" applyFill="1" applyBorder="1" applyAlignment="1">
      <alignment horizontal="left" vertical="top" wrapText="1"/>
    </xf>
    <xf numFmtId="4" fontId="21" fillId="2" borderId="5" xfId="0" applyNumberFormat="1" applyFont="1" applyFill="1" applyBorder="1" applyAlignment="1">
      <alignment horizontal="right" vertical="top" wrapText="1"/>
    </xf>
    <xf numFmtId="0" fontId="21" fillId="0" borderId="5" xfId="0" applyFont="1" applyFill="1" applyBorder="1" applyAlignment="1">
      <alignment horizontal="left" vertical="top" wrapText="1"/>
    </xf>
    <xf numFmtId="164" fontId="22" fillId="2" borderId="5" xfId="0" applyNumberFormat="1" applyFont="1" applyFill="1" applyBorder="1" applyAlignment="1">
      <alignment horizontal="right" vertical="top" wrapText="1"/>
    </xf>
    <xf numFmtId="0" fontId="23" fillId="0" borderId="5" xfId="0" applyFont="1" applyFill="1" applyBorder="1" applyAlignment="1">
      <alignment horizontal="left" vertical="top" wrapText="1"/>
    </xf>
    <xf numFmtId="164" fontId="23" fillId="0" borderId="5" xfId="0" applyNumberFormat="1" applyFont="1" applyFill="1" applyBorder="1" applyAlignment="1">
      <alignment horizontal="right" vertical="top" wrapText="1"/>
    </xf>
    <xf numFmtId="164" fontId="23" fillId="2" borderId="5" xfId="0" applyNumberFormat="1" applyFont="1" applyFill="1" applyBorder="1" applyAlignment="1">
      <alignment horizontal="right" vertical="top" wrapText="1"/>
    </xf>
    <xf numFmtId="2" fontId="21" fillId="2" borderId="3" xfId="0" applyNumberFormat="1" applyFont="1" applyFill="1" applyBorder="1" applyAlignment="1">
      <alignment horizontal="left" vertical="top" wrapText="1"/>
    </xf>
    <xf numFmtId="164" fontId="21" fillId="0" borderId="0" xfId="0" applyNumberFormat="1" applyFont="1" applyAlignment="1">
      <alignment vertical="top"/>
    </xf>
    <xf numFmtId="2" fontId="21" fillId="0" borderId="3" xfId="0" applyNumberFormat="1" applyFont="1" applyFill="1" applyBorder="1" applyAlignment="1">
      <alignment horizontal="left" vertical="top" wrapText="1"/>
    </xf>
    <xf numFmtId="4" fontId="21" fillId="0" borderId="0" xfId="0" applyNumberFormat="1" applyFont="1" applyAlignment="1">
      <alignment vertical="top"/>
    </xf>
    <xf numFmtId="164" fontId="2" fillId="0" borderId="5" xfId="0" applyNumberFormat="1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right" vertical="top" wrapText="1"/>
    </xf>
    <xf numFmtId="164" fontId="2" fillId="2" borderId="5" xfId="0" applyNumberFormat="1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left" vertical="top" wrapText="1"/>
    </xf>
    <xf numFmtId="164" fontId="21" fillId="2" borderId="5" xfId="0" applyNumberFormat="1" applyFont="1" applyFill="1" applyBorder="1" applyAlignment="1">
      <alignment horizontal="left" vertical="top" wrapText="1"/>
    </xf>
    <xf numFmtId="164" fontId="22" fillId="2" borderId="5" xfId="0" applyNumberFormat="1" applyFont="1" applyFill="1" applyBorder="1" applyAlignment="1">
      <alignment horizontal="left" vertical="top" wrapText="1"/>
    </xf>
    <xf numFmtId="164" fontId="21" fillId="0" borderId="0" xfId="0" applyNumberFormat="1" applyFont="1" applyFill="1" applyBorder="1" applyAlignment="1">
      <alignment horizontal="center" vertical="top" wrapText="1"/>
    </xf>
    <xf numFmtId="164" fontId="21" fillId="2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center" vertical="top" wrapText="1"/>
    </xf>
    <xf numFmtId="164" fontId="21" fillId="0" borderId="0" xfId="0" applyNumberFormat="1" applyFont="1" applyFill="1" applyAlignment="1">
      <alignment horizontal="left" vertical="top" wrapText="1"/>
    </xf>
    <xf numFmtId="164" fontId="21" fillId="0" borderId="0" xfId="0" applyNumberFormat="1" applyFont="1" applyFill="1" applyAlignment="1">
      <alignment horizontal="right" vertical="top" wrapText="1"/>
    </xf>
    <xf numFmtId="164" fontId="21" fillId="2" borderId="0" xfId="0" applyNumberFormat="1" applyFont="1" applyFill="1" applyAlignment="1">
      <alignment horizontal="right" vertical="top" wrapText="1"/>
    </xf>
    <xf numFmtId="0" fontId="21" fillId="0" borderId="0" xfId="0" applyFont="1" applyFill="1" applyAlignment="1">
      <alignment horizontal="right" vertical="top" wrapText="1"/>
    </xf>
    <xf numFmtId="0" fontId="21" fillId="0" borderId="0" xfId="0" applyFont="1" applyFill="1" applyAlignment="1">
      <alignment horizontal="left" vertical="top" wrapText="1"/>
    </xf>
    <xf numFmtId="164" fontId="21" fillId="2" borderId="0" xfId="0" applyNumberFormat="1" applyFont="1" applyFill="1" applyAlignment="1">
      <alignment horizontal="left" vertical="top" wrapText="1"/>
    </xf>
    <xf numFmtId="0" fontId="21" fillId="2" borderId="0" xfId="0" applyFont="1" applyFill="1" applyAlignment="1">
      <alignment horizontal="right" vertical="top" wrapText="1"/>
    </xf>
    <xf numFmtId="0" fontId="21" fillId="2" borderId="0" xfId="0" applyFont="1" applyFill="1" applyAlignment="1">
      <alignment horizontal="left" vertical="top" wrapText="1"/>
    </xf>
    <xf numFmtId="164" fontId="21" fillId="3" borderId="0" xfId="0" applyNumberFormat="1" applyFont="1" applyFill="1" applyAlignment="1">
      <alignment horizontal="right" vertical="top" wrapText="1"/>
    </xf>
    <xf numFmtId="0" fontId="2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7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3" fontId="5" fillId="0" borderId="7" xfId="0" applyNumberFormat="1" applyFont="1" applyFill="1" applyBorder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164" fontId="5" fillId="0" borderId="5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18" fillId="0" borderId="0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  <xf numFmtId="3" fontId="8" fillId="0" borderId="5" xfId="0" applyNumberFormat="1" applyFont="1" applyFill="1" applyBorder="1" applyAlignment="1">
      <alignment horizontal="center" vertical="top" wrapText="1"/>
    </xf>
    <xf numFmtId="0" fontId="18" fillId="0" borderId="0" xfId="0" applyFont="1" applyFill="1" applyAlignment="1">
      <alignment horizontal="left" vertical="top" wrapText="1"/>
    </xf>
    <xf numFmtId="1" fontId="8" fillId="0" borderId="0" xfId="0" applyNumberFormat="1" applyFont="1" applyFill="1" applyBorder="1" applyAlignment="1">
      <alignment horizontal="left" vertical="top" wrapText="1"/>
    </xf>
    <xf numFmtId="2" fontId="11" fillId="2" borderId="1" xfId="0" applyNumberFormat="1" applyFont="1" applyFill="1" applyBorder="1" applyAlignment="1">
      <alignment horizontal="center" vertical="top" wrapText="1"/>
    </xf>
    <xf numFmtId="2" fontId="11" fillId="2" borderId="2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11" fillId="0" borderId="8" xfId="0" applyFont="1" applyBorder="1" applyAlignment="1">
      <alignment horizontal="center" vertical="top"/>
    </xf>
    <xf numFmtId="0" fontId="4" fillId="0" borderId="5" xfId="5" applyFont="1" applyFill="1" applyBorder="1" applyAlignment="1">
      <alignment horizontal="center" vertical="top" wrapText="1"/>
    </xf>
    <xf numFmtId="2" fontId="11" fillId="2" borderId="5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4" fontId="4" fillId="2" borderId="5" xfId="5" applyNumberFormat="1" applyFont="1" applyFill="1" applyBorder="1" applyAlignment="1">
      <alignment horizontal="center" vertical="top" wrapText="1"/>
    </xf>
    <xf numFmtId="0" fontId="11" fillId="2" borderId="1" xfId="5" applyFont="1" applyFill="1" applyBorder="1" applyAlignment="1">
      <alignment horizontal="center" vertical="top" wrapText="1"/>
    </xf>
    <xf numFmtId="0" fontId="11" fillId="2" borderId="7" xfId="5" applyFont="1" applyFill="1" applyBorder="1" applyAlignment="1">
      <alignment horizontal="center" vertical="top" wrapText="1"/>
    </xf>
    <xf numFmtId="0" fontId="11" fillId="2" borderId="2" xfId="5" applyFont="1" applyFill="1" applyBorder="1" applyAlignment="1">
      <alignment horizontal="center" vertical="top" wrapText="1"/>
    </xf>
    <xf numFmtId="2" fontId="11" fillId="2" borderId="1" xfId="0" applyNumberFormat="1" applyFont="1" applyFill="1" applyBorder="1" applyAlignment="1">
      <alignment horizontal="left" vertical="top" wrapText="1"/>
    </xf>
    <xf numFmtId="2" fontId="11" fillId="2" borderId="7" xfId="0" applyNumberFormat="1" applyFont="1" applyFill="1" applyBorder="1" applyAlignment="1">
      <alignment horizontal="left" vertical="top" wrapText="1"/>
    </xf>
    <xf numFmtId="2" fontId="11" fillId="2" borderId="2" xfId="0" applyNumberFormat="1" applyFont="1" applyFill="1" applyBorder="1" applyAlignment="1">
      <alignment horizontal="left" vertical="top" wrapText="1"/>
    </xf>
    <xf numFmtId="164" fontId="11" fillId="0" borderId="1" xfId="0" applyNumberFormat="1" applyFont="1" applyBorder="1" applyAlignment="1">
      <alignment horizontal="center" vertical="top" wrapText="1"/>
    </xf>
    <xf numFmtId="164" fontId="11" fillId="0" borderId="7" xfId="0" applyNumberFormat="1" applyFont="1" applyBorder="1" applyAlignment="1">
      <alignment horizontal="center" vertical="top" wrapText="1"/>
    </xf>
    <xf numFmtId="164" fontId="11" fillId="0" borderId="2" xfId="0" applyNumberFormat="1" applyFont="1" applyBorder="1" applyAlignment="1">
      <alignment horizontal="center" vertical="top" wrapText="1"/>
    </xf>
    <xf numFmtId="0" fontId="11" fillId="2" borderId="5" xfId="5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164" fontId="21" fillId="2" borderId="5" xfId="0" applyNumberFormat="1" applyFont="1" applyFill="1" applyBorder="1" applyAlignment="1">
      <alignment horizontal="center" vertical="top" wrapText="1"/>
    </xf>
    <xf numFmtId="164" fontId="21" fillId="0" borderId="5" xfId="0" applyNumberFormat="1" applyFont="1" applyFill="1" applyBorder="1" applyAlignment="1">
      <alignment horizontal="center" vertical="top" wrapText="1"/>
    </xf>
    <xf numFmtId="0" fontId="21" fillId="0" borderId="5" xfId="0" applyFont="1" applyFill="1" applyBorder="1" applyAlignment="1">
      <alignment horizontal="center" vertical="top" wrapText="1"/>
    </xf>
    <xf numFmtId="164" fontId="21" fillId="0" borderId="9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164" fontId="2" fillId="0" borderId="0" xfId="0" applyNumberFormat="1" applyFont="1" applyFill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</cellXfs>
  <cellStyles count="20">
    <cellStyle name="Normal" xfId="1"/>
    <cellStyle name="Денежный 2" xfId="2"/>
    <cellStyle name="Обычный" xfId="0" builtinId="0"/>
    <cellStyle name="Обычный 10" xfId="3"/>
    <cellStyle name="Обычный 11" xfId="4"/>
    <cellStyle name="Обычный 14" xfId="5"/>
    <cellStyle name="Обычный 15" xfId="6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 6" xfId="12"/>
    <cellStyle name="Обычный 7" xfId="13"/>
    <cellStyle name="Обычный 8" xfId="14"/>
    <cellStyle name="Обычный 9" xfId="15"/>
    <cellStyle name="Финансовый 2" xfId="16"/>
    <cellStyle name="Финансовый 3" xfId="17"/>
    <cellStyle name="Финансовый 4" xfId="18"/>
    <cellStyle name="Финансовый 5" xfId="1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fss4/Downloads/&#1053;&#1086;&#1074;&#1072;&#1103;%20&#1087;&#1072;&#1087;&#1082;&#1072;/&#1041;&#1070;&#1044;&#1046;&#1045;&#1058;%20&#1055;&#1056;&#1054;&#1045;&#1050;&#1058;%202019%20(&#1082;&#1091;&#1083;&#1100;&#1090;&#1091;&#1088;&#1072;%20&#1086;&#1082;&#1086;&#1085;&#1095;&#1072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&#1052;&#1086;&#1080;%20&#1076;&#1086;&#1082;&#1091;&#1084;&#1077;&#1085;&#1090;&#1099;/Downloads/&#1044;&#1046;%20&#1055;&#1088;&#1086;&#1077;&#1082;&#1090;%20&#1041;&#1070;&#1044;&#1046;&#1045;&#1058;&#1040;%20&#1085;&#1072;%20%202019%20&#1075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&#1052;&#1086;&#1080;%20&#1076;&#1086;&#1082;&#1091;&#1084;&#1077;&#1085;&#1090;&#1099;/Downloads/&#1044;&#1046;%20&#1055;&#1088;&#1086;&#1077;&#1082;&#1090;%20&#1041;&#1070;&#1044;&#1046;&#1045;&#1058;&#1040;%20&#1085;&#1072;%20%202019%20&#1075;&#1086;&#1076;%20&#1064;&#1072;&#1084;&#1080;&#1083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&#1052;&#1086;&#1080;%20&#1076;&#1086;&#1082;&#1091;&#1084;&#1077;&#1085;&#1090;&#1099;/Downloads/&#1050;&#1086;&#1087;&#1080;&#1103;%20&#1044;&#1046;%20&#1055;&#1088;&#1086;&#1077;&#1082;&#1090;%20&#1041;&#1070;&#1044;&#1046;&#1045;&#1058;&#1040;%20&#1085;&#1072;%20%202019%20&#1075;&#1086;&#1076;%20&#1054;&#1089;&#1085;&#1086;&#1074;&#1085;&#1086;&#1081;%20&#1092;&#1072;&#1081;&#108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"/>
      <sheetName val="бюджет расч"/>
      <sheetName val=" культура"/>
      <sheetName val="ФОТ образ-е"/>
      <sheetName val="МРОТ с мая "/>
      <sheetName val="Связь"/>
      <sheetName val="Ком. услуги"/>
      <sheetName val="Налоги расчет"/>
      <sheetName val="Стипендия"/>
      <sheetName val="Атестация"/>
      <sheetName val="Союзы"/>
      <sheetName val="МатЗатр "/>
      <sheetName val="Лист1"/>
      <sheetName val="старый перечень"/>
      <sheetName val="Субсидии"/>
      <sheetName val="Аппарат"/>
      <sheetName val="Норматив"/>
      <sheetName val="ДОХОДЫ"/>
      <sheetName val="Зарплата"/>
      <sheetName val="Колич-во МРОТников"/>
      <sheetName val="Затраты по видам"/>
      <sheetName val="План по Доходам"/>
    </sheetNames>
    <sheetDataSet>
      <sheetData sheetId="0"/>
      <sheetData sheetId="1"/>
      <sheetData sheetId="2">
        <row r="6">
          <cell r="L6">
            <v>33666.699999999997</v>
          </cell>
        </row>
        <row r="7">
          <cell r="L7">
            <v>70444.042536000008</v>
          </cell>
        </row>
        <row r="8">
          <cell r="L8">
            <v>15522.069152073733</v>
          </cell>
        </row>
        <row r="9">
          <cell r="L9">
            <v>30813.813600000001</v>
          </cell>
        </row>
        <row r="10">
          <cell r="L10">
            <v>7381.4519999999993</v>
          </cell>
        </row>
        <row r="11">
          <cell r="L11">
            <v>8368.0920000000006</v>
          </cell>
        </row>
        <row r="13">
          <cell r="L13">
            <v>47247.978000000003</v>
          </cell>
        </row>
        <row r="14">
          <cell r="L14">
            <v>9012.2179999999989</v>
          </cell>
        </row>
        <row r="15">
          <cell r="L15">
            <v>3068.2439999999997</v>
          </cell>
        </row>
        <row r="17">
          <cell r="L17">
            <v>43141.446399999993</v>
          </cell>
        </row>
        <row r="18">
          <cell r="L18">
            <v>32875.105600000003</v>
          </cell>
        </row>
        <row r="19">
          <cell r="L19">
            <v>32782.17773333333</v>
          </cell>
        </row>
        <row r="20">
          <cell r="L20">
            <v>28978.6</v>
          </cell>
        </row>
        <row r="21">
          <cell r="L21">
            <v>20376.486353302607</v>
          </cell>
        </row>
        <row r="22">
          <cell r="L22">
            <v>20599.010168970814</v>
          </cell>
        </row>
        <row r="23">
          <cell r="L23">
            <v>22142.608549923196</v>
          </cell>
        </row>
        <row r="24">
          <cell r="L24">
            <v>68881.87</v>
          </cell>
        </row>
        <row r="25">
          <cell r="L25">
            <v>15191.652</v>
          </cell>
        </row>
        <row r="26">
          <cell r="L26">
            <v>11087.434799999999</v>
          </cell>
        </row>
        <row r="27">
          <cell r="L27">
            <v>11062.714055299539</v>
          </cell>
        </row>
        <row r="28">
          <cell r="L28">
            <v>5770.9160000000002</v>
          </cell>
        </row>
        <row r="29">
          <cell r="L29">
            <v>37567.15907219662</v>
          </cell>
        </row>
        <row r="30">
          <cell r="L30">
            <v>26606.853199999998</v>
          </cell>
        </row>
        <row r="31">
          <cell r="L31">
            <v>20568.856</v>
          </cell>
        </row>
        <row r="32">
          <cell r="L32">
            <v>8321.3504000000012</v>
          </cell>
        </row>
        <row r="33">
          <cell r="L33">
            <v>6658.6959999999999</v>
          </cell>
        </row>
        <row r="34">
          <cell r="L34">
            <v>9687.94</v>
          </cell>
        </row>
        <row r="35">
          <cell r="L35">
            <v>10305.019600000001</v>
          </cell>
        </row>
        <row r="36">
          <cell r="L36">
            <v>47057.892000000007</v>
          </cell>
        </row>
        <row r="37">
          <cell r="L37">
            <v>2023.9759999999999</v>
          </cell>
        </row>
        <row r="38">
          <cell r="L38">
            <v>7165.5280000000002</v>
          </cell>
        </row>
        <row r="39">
          <cell r="L39">
            <v>5914.0838399999993</v>
          </cell>
        </row>
      </sheetData>
      <sheetData sheetId="3"/>
      <sheetData sheetId="4"/>
      <sheetData sheetId="5">
        <row r="8">
          <cell r="I8">
            <v>182.16</v>
          </cell>
        </row>
        <row r="9">
          <cell r="I9">
            <v>75.680000000000007</v>
          </cell>
        </row>
        <row r="10">
          <cell r="I10">
            <v>30.44</v>
          </cell>
        </row>
        <row r="11">
          <cell r="I11">
            <v>67.040000000000006</v>
          </cell>
        </row>
        <row r="12">
          <cell r="I12">
            <v>42.08</v>
          </cell>
        </row>
        <row r="13">
          <cell r="I13">
            <v>48.8</v>
          </cell>
        </row>
        <row r="15">
          <cell r="I15">
            <v>159.72</v>
          </cell>
        </row>
        <row r="16">
          <cell r="I16">
            <v>23.72</v>
          </cell>
        </row>
        <row r="17">
          <cell r="I17">
            <v>20.72</v>
          </cell>
        </row>
      </sheetData>
      <sheetData sheetId="6">
        <row r="9">
          <cell r="S9">
            <v>180.47640000000001</v>
          </cell>
        </row>
        <row r="10">
          <cell r="S10">
            <v>1866.376</v>
          </cell>
        </row>
        <row r="11">
          <cell r="S11">
            <v>797.60800000000006</v>
          </cell>
        </row>
        <row r="12">
          <cell r="S12">
            <v>3460</v>
          </cell>
        </row>
        <row r="13">
          <cell r="S13">
            <v>0</v>
          </cell>
        </row>
        <row r="14">
          <cell r="S14">
            <v>212</v>
          </cell>
        </row>
        <row r="16">
          <cell r="S16">
            <v>2498.3520000000003</v>
          </cell>
        </row>
        <row r="17">
          <cell r="S17">
            <v>117.29640000000001</v>
          </cell>
        </row>
        <row r="18">
          <cell r="S18">
            <v>69.460000000000008</v>
          </cell>
        </row>
        <row r="20">
          <cell r="S20">
            <v>2993.6480000000001</v>
          </cell>
        </row>
        <row r="21">
          <cell r="S21">
            <v>1272.5640000000001</v>
          </cell>
        </row>
        <row r="22">
          <cell r="S22">
            <v>1496.4680000000001</v>
          </cell>
        </row>
        <row r="23">
          <cell r="S23">
            <v>740.46</v>
          </cell>
        </row>
        <row r="24">
          <cell r="S24">
            <v>726.10799999999995</v>
          </cell>
        </row>
        <row r="25">
          <cell r="S25">
            <v>0</v>
          </cell>
        </row>
        <row r="26">
          <cell r="S26">
            <v>676.89599999999996</v>
          </cell>
        </row>
        <row r="27">
          <cell r="S27">
            <v>0</v>
          </cell>
        </row>
        <row r="28">
          <cell r="S28">
            <v>204.12</v>
          </cell>
        </row>
        <row r="29">
          <cell r="S29">
            <v>0</v>
          </cell>
        </row>
        <row r="30">
          <cell r="S30">
            <v>331.76</v>
          </cell>
        </row>
        <row r="31">
          <cell r="S31">
            <v>320.52800000000002</v>
          </cell>
        </row>
        <row r="32">
          <cell r="S32">
            <v>595.08000000000004</v>
          </cell>
        </row>
        <row r="33">
          <cell r="S33">
            <v>738.4</v>
          </cell>
        </row>
        <row r="34">
          <cell r="S34">
            <v>363.24</v>
          </cell>
        </row>
        <row r="35">
          <cell r="S35">
            <v>88.6</v>
          </cell>
        </row>
        <row r="36">
          <cell r="S36">
            <v>0</v>
          </cell>
        </row>
        <row r="37">
          <cell r="S37">
            <v>0</v>
          </cell>
        </row>
        <row r="38">
          <cell r="S38">
            <v>348.96799999999996</v>
          </cell>
        </row>
        <row r="39">
          <cell r="S39">
            <v>449.26399999999995</v>
          </cell>
        </row>
        <row r="40">
          <cell r="S40">
            <v>0</v>
          </cell>
        </row>
        <row r="41">
          <cell r="S41">
            <v>0</v>
          </cell>
        </row>
        <row r="42">
          <cell r="S42">
            <v>0</v>
          </cell>
        </row>
        <row r="44">
          <cell r="S44">
            <v>0</v>
          </cell>
        </row>
        <row r="45">
          <cell r="S45">
            <v>0</v>
          </cell>
        </row>
      </sheetData>
      <sheetData sheetId="7">
        <row r="7">
          <cell r="F7">
            <v>20.113885000000003</v>
          </cell>
          <cell r="K7">
            <v>17.198573099999997</v>
          </cell>
          <cell r="AI7">
            <v>4.6007999999999996</v>
          </cell>
        </row>
        <row r="8">
          <cell r="F8">
            <v>567.26962600000002</v>
          </cell>
          <cell r="K8">
            <v>247.88414689999996</v>
          </cell>
          <cell r="AI8">
            <v>0.78320000000000001</v>
          </cell>
        </row>
        <row r="9">
          <cell r="F9">
            <v>83.163971000000004</v>
          </cell>
          <cell r="K9">
            <v>52.1180187</v>
          </cell>
          <cell r="AI9">
            <v>1.9179999999999999</v>
          </cell>
        </row>
        <row r="10">
          <cell r="F10">
            <v>11.322674000000001</v>
          </cell>
          <cell r="AI10">
            <v>4.6360000000000001</v>
          </cell>
        </row>
        <row r="11">
          <cell r="F11">
            <v>5.5673750000000011</v>
          </cell>
          <cell r="K11">
            <v>7.6799999999999988</v>
          </cell>
          <cell r="AI11">
            <v>2.1040000000000001</v>
          </cell>
        </row>
        <row r="12">
          <cell r="F12">
            <v>11.040040000000001</v>
          </cell>
          <cell r="K12">
            <v>0</v>
          </cell>
          <cell r="AI12">
            <v>0</v>
          </cell>
        </row>
        <row r="14">
          <cell r="F14">
            <v>1400.5813580000001</v>
          </cell>
          <cell r="K14">
            <v>291.34233603000001</v>
          </cell>
          <cell r="AI14">
            <v>1.01</v>
          </cell>
        </row>
        <row r="15">
          <cell r="F15">
            <v>1.1909370000000001</v>
          </cell>
          <cell r="AI15">
            <v>1.06</v>
          </cell>
        </row>
        <row r="16">
          <cell r="F16">
            <v>14.046483000000002</v>
          </cell>
          <cell r="AI16">
            <v>0</v>
          </cell>
        </row>
        <row r="18">
          <cell r="F18">
            <v>828.76466200000016</v>
          </cell>
          <cell r="K18">
            <v>637.42911060000006</v>
          </cell>
          <cell r="AI18">
            <v>34.316000000000003</v>
          </cell>
        </row>
        <row r="19">
          <cell r="F19">
            <v>145.198295</v>
          </cell>
          <cell r="K19">
            <v>345.46374599999996</v>
          </cell>
          <cell r="AI19">
            <v>14.5312</v>
          </cell>
        </row>
        <row r="20">
          <cell r="F20">
            <v>2379.3738210000006</v>
          </cell>
          <cell r="K20">
            <v>189.37083959999998</v>
          </cell>
          <cell r="AI20">
            <v>16.608000000000001</v>
          </cell>
        </row>
        <row r="21">
          <cell r="F21">
            <v>4936.008253</v>
          </cell>
          <cell r="K21">
            <v>266.54656499999999</v>
          </cell>
          <cell r="AI21">
            <v>12.172000000000001</v>
          </cell>
        </row>
        <row r="22">
          <cell r="F22">
            <v>162.74500000000003</v>
          </cell>
          <cell r="K22">
            <v>220.11633449999999</v>
          </cell>
          <cell r="AI22">
            <v>1.982</v>
          </cell>
        </row>
        <row r="23">
          <cell r="F23">
            <v>15.694734000000002</v>
          </cell>
          <cell r="AI23">
            <v>10.448</v>
          </cell>
        </row>
        <row r="24">
          <cell r="F24">
            <v>881.63902200000007</v>
          </cell>
          <cell r="K24">
            <v>163.70355479999998</v>
          </cell>
          <cell r="AI24">
            <v>9.9592000000000009</v>
          </cell>
        </row>
        <row r="25">
          <cell r="F25">
            <v>70.854443000000018</v>
          </cell>
          <cell r="K25">
            <v>0</v>
          </cell>
          <cell r="AI25">
            <v>4.32</v>
          </cell>
        </row>
        <row r="26">
          <cell r="F26">
            <v>36.250654000000004</v>
          </cell>
          <cell r="K26">
            <v>59.203244999999995</v>
          </cell>
          <cell r="AI26">
            <v>7.42</v>
          </cell>
        </row>
        <row r="27">
          <cell r="F27">
            <v>3.5027300000000006</v>
          </cell>
          <cell r="K27">
            <v>0</v>
          </cell>
          <cell r="AI27">
            <v>10.34</v>
          </cell>
        </row>
        <row r="28">
          <cell r="F28">
            <v>30.428365000000003</v>
          </cell>
          <cell r="K28">
            <v>51.054483750000003</v>
          </cell>
          <cell r="AI28">
            <v>6.64</v>
          </cell>
        </row>
        <row r="29">
          <cell r="F29">
            <v>58.784352000000005</v>
          </cell>
          <cell r="K29">
            <v>81.061545759999987</v>
          </cell>
          <cell r="AI29">
            <v>0</v>
          </cell>
        </row>
        <row r="30">
          <cell r="F30">
            <v>729.72353300000009</v>
          </cell>
          <cell r="K30">
            <v>136.7678286</v>
          </cell>
          <cell r="AI30">
            <v>12.8</v>
          </cell>
        </row>
        <row r="31">
          <cell r="F31">
            <v>753.37483099999997</v>
          </cell>
          <cell r="K31">
            <v>138.03627</v>
          </cell>
          <cell r="AI31">
            <v>0</v>
          </cell>
        </row>
        <row r="32">
          <cell r="F32">
            <v>26.319744000000004</v>
          </cell>
          <cell r="K32">
            <v>0</v>
          </cell>
          <cell r="AI32">
            <v>18.111999999999998</v>
          </cell>
        </row>
        <row r="33">
          <cell r="F33">
            <v>4.1652710000000006</v>
          </cell>
          <cell r="K33">
            <v>1.5964326000000002</v>
          </cell>
          <cell r="AI33">
            <v>5.7336</v>
          </cell>
        </row>
        <row r="34">
          <cell r="F34">
            <v>16.513287999999999</v>
          </cell>
          <cell r="K34">
            <v>0</v>
          </cell>
          <cell r="AI34">
            <v>4.7</v>
          </cell>
        </row>
        <row r="35">
          <cell r="F35">
            <v>5.3891420000000005</v>
          </cell>
          <cell r="K35">
            <v>0</v>
          </cell>
          <cell r="AI35">
            <v>0</v>
          </cell>
        </row>
        <row r="36">
          <cell r="F36">
            <v>17.484588000000002</v>
          </cell>
          <cell r="K36">
            <v>12.208013999999999</v>
          </cell>
          <cell r="AI36">
            <v>4.5359999999999996</v>
          </cell>
        </row>
        <row r="37">
          <cell r="F37">
            <v>40.652557000000002</v>
          </cell>
          <cell r="K37">
            <v>13.729012799999998</v>
          </cell>
          <cell r="AI37">
            <v>0</v>
          </cell>
        </row>
        <row r="38">
          <cell r="F38">
            <v>50.257625000000004</v>
          </cell>
          <cell r="K38">
            <v>0</v>
          </cell>
          <cell r="AI38">
            <v>9.68</v>
          </cell>
        </row>
        <row r="39">
          <cell r="F39">
            <v>0</v>
          </cell>
          <cell r="K39">
            <v>0</v>
          </cell>
          <cell r="AI39">
            <v>0</v>
          </cell>
        </row>
        <row r="40">
          <cell r="F40">
            <v>0</v>
          </cell>
          <cell r="AI40">
            <v>0</v>
          </cell>
        </row>
      </sheetData>
      <sheetData sheetId="8"/>
      <sheetData sheetId="9"/>
      <sheetData sheetId="10"/>
      <sheetData sheetId="11">
        <row r="4">
          <cell r="M4">
            <v>14844.2</v>
          </cell>
        </row>
        <row r="5">
          <cell r="M5">
            <v>51321.020000000004</v>
          </cell>
        </row>
        <row r="6">
          <cell r="M6">
            <v>88000.799999999988</v>
          </cell>
        </row>
        <row r="7">
          <cell r="M7">
            <v>25817.440000000002</v>
          </cell>
        </row>
        <row r="8">
          <cell r="M8">
            <v>20496.200000000004</v>
          </cell>
        </row>
        <row r="9">
          <cell r="M9">
            <v>6589.9660000000003</v>
          </cell>
        </row>
        <row r="10">
          <cell r="M10">
            <v>192225.42600000004</v>
          </cell>
        </row>
        <row r="11">
          <cell r="M11">
            <v>10697.776</v>
          </cell>
        </row>
        <row r="12">
          <cell r="M12">
            <v>2353.8999999999996</v>
          </cell>
        </row>
        <row r="13">
          <cell r="M13">
            <v>3253.6</v>
          </cell>
        </row>
        <row r="15">
          <cell r="M15">
            <v>59963.5</v>
          </cell>
        </row>
        <row r="16">
          <cell r="M16">
            <v>23752.9</v>
          </cell>
        </row>
        <row r="17">
          <cell r="M17">
            <v>34673.300000000003</v>
          </cell>
        </row>
        <row r="18">
          <cell r="M18">
            <v>7037.3</v>
          </cell>
        </row>
        <row r="19">
          <cell r="M19">
            <v>8951</v>
          </cell>
        </row>
        <row r="20">
          <cell r="M20">
            <v>7167.77</v>
          </cell>
        </row>
        <row r="21">
          <cell r="M21">
            <v>15788.6</v>
          </cell>
        </row>
        <row r="22">
          <cell r="M22">
            <v>12008</v>
          </cell>
        </row>
        <row r="23">
          <cell r="M23">
            <v>6041</v>
          </cell>
        </row>
        <row r="24">
          <cell r="M24">
            <v>3990</v>
          </cell>
        </row>
        <row r="25">
          <cell r="M25">
            <v>5438</v>
          </cell>
        </row>
        <row r="26">
          <cell r="M26">
            <v>8950.1</v>
          </cell>
        </row>
        <row r="27">
          <cell r="M27">
            <v>14713.7</v>
          </cell>
        </row>
        <row r="28">
          <cell r="M28">
            <v>6662.67</v>
          </cell>
        </row>
        <row r="29">
          <cell r="M29">
            <v>2569.5</v>
          </cell>
        </row>
        <row r="30">
          <cell r="M30">
            <v>2819.5</v>
          </cell>
        </row>
        <row r="31">
          <cell r="M31">
            <v>843.2</v>
          </cell>
        </row>
        <row r="32">
          <cell r="M32">
            <v>2779.5</v>
          </cell>
        </row>
        <row r="33">
          <cell r="M33">
            <v>3100.0400000000004</v>
          </cell>
        </row>
        <row r="34">
          <cell r="M34">
            <v>17589</v>
          </cell>
        </row>
        <row r="35">
          <cell r="M35">
            <v>19334.599999999999</v>
          </cell>
        </row>
        <row r="36">
          <cell r="M36">
            <v>3626.9</v>
          </cell>
        </row>
        <row r="37">
          <cell r="M37">
            <v>3449.75</v>
          </cell>
        </row>
        <row r="40">
          <cell r="M40">
            <v>23116.799999999999</v>
          </cell>
        </row>
      </sheetData>
      <sheetData sheetId="12"/>
      <sheetData sheetId="13"/>
      <sheetData sheetId="14">
        <row r="6">
          <cell r="Z6">
            <v>169740.99999999997</v>
          </cell>
        </row>
        <row r="16">
          <cell r="W16">
            <v>28579.3</v>
          </cell>
        </row>
        <row r="17">
          <cell r="W17">
            <v>23226.7</v>
          </cell>
        </row>
        <row r="18">
          <cell r="W18">
            <v>1979.3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 расч"/>
      <sheetName val=" ФОТ культура"/>
      <sheetName val="ФОТ образ-е"/>
      <sheetName val="МРОТ с мая "/>
      <sheetName val="Связь"/>
      <sheetName val="Ком. услуги"/>
      <sheetName val="Налоги расчет"/>
      <sheetName val="Стипендия"/>
      <sheetName val="Атестация"/>
      <sheetName val="Союзы"/>
      <sheetName val="МатЗатр"/>
      <sheetName val="Перечень мер"/>
      <sheetName val="Субсидии"/>
      <sheetName val="Аппарат"/>
      <sheetName val="Приоритетные"/>
      <sheetName val="Норматив"/>
      <sheetName val="ДОХОДЫ"/>
      <sheetName val="Зарплата"/>
      <sheetName val="Колич-во МРОТников"/>
      <sheetName val="Затраты по видам"/>
      <sheetName val="План по Дохода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7">
          <cell r="G27">
            <v>149</v>
          </cell>
        </row>
        <row r="28">
          <cell r="G28">
            <v>134</v>
          </cell>
        </row>
        <row r="29">
          <cell r="G29">
            <v>151.5</v>
          </cell>
        </row>
        <row r="30">
          <cell r="G30">
            <v>116.5</v>
          </cell>
        </row>
        <row r="31">
          <cell r="G31">
            <v>86.5</v>
          </cell>
        </row>
        <row r="32">
          <cell r="G32">
            <v>86.5</v>
          </cell>
        </row>
        <row r="33">
          <cell r="G33">
            <v>49</v>
          </cell>
        </row>
        <row r="34">
          <cell r="G34">
            <v>334</v>
          </cell>
        </row>
        <row r="35">
          <cell r="G35">
            <v>56.5</v>
          </cell>
        </row>
        <row r="36">
          <cell r="G36">
            <v>61.5</v>
          </cell>
        </row>
        <row r="37">
          <cell r="G37">
            <v>64</v>
          </cell>
        </row>
        <row r="38">
          <cell r="G38">
            <v>19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 расч"/>
      <sheetName val=" ФОТ культура"/>
      <sheetName val="ФОТ образ-е"/>
      <sheetName val="МРОТ с мая "/>
      <sheetName val="Связь"/>
      <sheetName val="Ком. услуги"/>
      <sheetName val="Налоги расчет"/>
      <sheetName val="Стипендия"/>
      <sheetName val="Аттестация"/>
      <sheetName val="Союзы"/>
      <sheetName val="МатЗатр"/>
      <sheetName val="Лист1"/>
      <sheetName val="Перечень мер"/>
      <sheetName val="Субсидии"/>
      <sheetName val="Аппарат"/>
      <sheetName val="Приоритетные"/>
      <sheetName val="Норматив"/>
      <sheetName val="ДОХОДЫ"/>
      <sheetName val="Зарплата"/>
      <sheetName val="Колич-во МРОТников"/>
      <sheetName val="Затраты по видам"/>
      <sheetName val="План по Дохода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9">
          <cell r="G39">
            <v>286.5</v>
          </cell>
        </row>
        <row r="40">
          <cell r="G40">
            <v>84</v>
          </cell>
        </row>
        <row r="41">
          <cell r="G41">
            <v>116.5</v>
          </cell>
        </row>
        <row r="42">
          <cell r="G42">
            <v>36.5</v>
          </cell>
        </row>
        <row r="43">
          <cell r="G43">
            <v>29</v>
          </cell>
        </row>
        <row r="44">
          <cell r="G44">
            <v>51.5</v>
          </cell>
        </row>
        <row r="45">
          <cell r="G45">
            <v>54</v>
          </cell>
        </row>
        <row r="46">
          <cell r="G46">
            <v>191.5</v>
          </cell>
        </row>
        <row r="47">
          <cell r="G47">
            <v>16.5</v>
          </cell>
        </row>
        <row r="48">
          <cell r="G48">
            <v>46.5</v>
          </cell>
        </row>
        <row r="49">
          <cell r="G49">
            <v>34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Норматив 1"/>
      <sheetName val="бюджет расч"/>
      <sheetName val=" ФОТ культура"/>
      <sheetName val="ФОТ образ-е"/>
      <sheetName val="МРОТ с мая "/>
      <sheetName val="Связь"/>
      <sheetName val="Ком. услуги"/>
      <sheetName val="Налоги расчет"/>
      <sheetName val="Стипендия"/>
      <sheetName val="Аттестация"/>
      <sheetName val="МатЗатр "/>
      <sheetName val="Союзы"/>
      <sheetName val="Перечень мер"/>
      <sheetName val="Субсидии"/>
      <sheetName val="Аппарат"/>
      <sheetName val="Приоритетные"/>
      <sheetName val="Норматив"/>
      <sheetName val="ДОХОДЫ"/>
      <sheetName val="Зарплата"/>
      <sheetName val="Лист2"/>
      <sheetName val="Колич-во МРОТников"/>
      <sheetName val="Затраты по видам"/>
      <sheetName val="План по Дохода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>
        <row r="14">
          <cell r="G14">
            <v>10913.726076456271</v>
          </cell>
        </row>
      </sheetData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0.79998168889431442"/>
  </sheetPr>
  <dimension ref="A2:O74"/>
  <sheetViews>
    <sheetView view="pageBreakPreview" zoomScale="60" zoomScaleNormal="71" workbookViewId="0">
      <selection activeCell="I9" sqref="I9"/>
    </sheetView>
  </sheetViews>
  <sheetFormatPr defaultRowHeight="18.75"/>
  <cols>
    <col min="1" max="1" width="5.5703125" style="46" customWidth="1"/>
    <col min="2" max="2" width="46.42578125" style="47" customWidth="1"/>
    <col min="3" max="3" width="16" style="48" customWidth="1"/>
    <col min="4" max="4" width="18" style="58" customWidth="1"/>
    <col min="5" max="5" width="17.7109375" style="58" customWidth="1"/>
    <col min="6" max="6" width="18.28515625" style="58" customWidth="1"/>
    <col min="7" max="7" width="17.85546875" style="58" customWidth="1"/>
    <col min="8" max="8" width="16.28515625" style="58" customWidth="1"/>
    <col min="9" max="9" width="13.140625" style="58" customWidth="1"/>
    <col min="10" max="10" width="14.140625" style="58" customWidth="1"/>
    <col min="11" max="11" width="18.140625" style="58" customWidth="1"/>
    <col min="12" max="12" width="18.28515625" style="58" customWidth="1"/>
    <col min="13" max="13" width="16.5703125" style="47" customWidth="1"/>
    <col min="14" max="14" width="17.7109375" style="47" customWidth="1"/>
    <col min="15" max="15" width="17" style="47" customWidth="1"/>
    <col min="16" max="16384" width="9.140625" style="1"/>
  </cols>
  <sheetData>
    <row r="2" spans="1:15" ht="45.75" customHeight="1">
      <c r="A2" s="128" t="s">
        <v>0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</row>
    <row r="3" spans="1:15" s="2" customFormat="1" ht="22.5" customHeight="1">
      <c r="A3" s="129" t="s">
        <v>1</v>
      </c>
      <c r="B3" s="132" t="s">
        <v>2</v>
      </c>
      <c r="C3" s="135" t="s">
        <v>3</v>
      </c>
      <c r="D3" s="138" t="s">
        <v>4</v>
      </c>
      <c r="E3" s="139" t="s">
        <v>5</v>
      </c>
      <c r="F3" s="138" t="s">
        <v>6</v>
      </c>
      <c r="G3" s="138" t="s">
        <v>7</v>
      </c>
      <c r="H3" s="142" t="s">
        <v>8</v>
      </c>
      <c r="I3" s="138" t="s">
        <v>9</v>
      </c>
      <c r="J3" s="138"/>
      <c r="K3" s="138"/>
      <c r="L3" s="138"/>
      <c r="M3" s="132" t="s">
        <v>10</v>
      </c>
      <c r="N3" s="129" t="s">
        <v>11</v>
      </c>
      <c r="O3" s="132" t="s">
        <v>12</v>
      </c>
    </row>
    <row r="4" spans="1:15" s="2" customFormat="1" ht="41.25" customHeight="1">
      <c r="A4" s="130"/>
      <c r="B4" s="133"/>
      <c r="C4" s="136"/>
      <c r="D4" s="139"/>
      <c r="E4" s="140"/>
      <c r="F4" s="139"/>
      <c r="G4" s="139"/>
      <c r="H4" s="143"/>
      <c r="I4" s="3" t="s">
        <v>13</v>
      </c>
      <c r="J4" s="3" t="s">
        <v>14</v>
      </c>
      <c r="K4" s="3" t="s">
        <v>15</v>
      </c>
      <c r="L4" s="3" t="s">
        <v>16</v>
      </c>
      <c r="M4" s="133"/>
      <c r="N4" s="130"/>
      <c r="O4" s="133"/>
    </row>
    <row r="5" spans="1:15" s="2" customFormat="1" ht="18">
      <c r="A5" s="131"/>
      <c r="B5" s="134"/>
      <c r="C5" s="137"/>
      <c r="D5" s="4" t="s">
        <v>17</v>
      </c>
      <c r="E5" s="141"/>
      <c r="F5" s="4" t="s">
        <v>18</v>
      </c>
      <c r="G5" s="4" t="s">
        <v>19</v>
      </c>
      <c r="H5" s="5"/>
      <c r="I5" s="145" t="s">
        <v>20</v>
      </c>
      <c r="J5" s="146"/>
      <c r="K5" s="4" t="s">
        <v>21</v>
      </c>
      <c r="L5" s="4" t="s">
        <v>22</v>
      </c>
      <c r="M5" s="134"/>
      <c r="N5" s="131"/>
      <c r="O5" s="134"/>
    </row>
    <row r="6" spans="1:15" s="2" customFormat="1" ht="18">
      <c r="A6" s="6">
        <v>1</v>
      </c>
      <c r="B6" s="6">
        <v>2</v>
      </c>
      <c r="C6" s="6">
        <v>3</v>
      </c>
      <c r="D6" s="7">
        <v>4</v>
      </c>
      <c r="E6" s="6">
        <v>5</v>
      </c>
      <c r="F6" s="7">
        <v>6</v>
      </c>
      <c r="G6" s="7">
        <v>7</v>
      </c>
      <c r="H6" s="7">
        <v>8</v>
      </c>
      <c r="I6" s="8">
        <v>9</v>
      </c>
      <c r="J6" s="9">
        <v>10</v>
      </c>
      <c r="K6" s="7">
        <v>11</v>
      </c>
      <c r="L6" s="7">
        <v>12</v>
      </c>
      <c r="M6" s="6">
        <v>13</v>
      </c>
      <c r="N6" s="6">
        <v>14</v>
      </c>
      <c r="O6" s="6">
        <v>15</v>
      </c>
    </row>
    <row r="7" spans="1:15" s="15" customFormat="1" ht="37.5">
      <c r="A7" s="10">
        <v>1</v>
      </c>
      <c r="B7" s="11" t="s">
        <v>23</v>
      </c>
      <c r="C7" s="12" t="s">
        <v>24</v>
      </c>
      <c r="D7" s="13">
        <f>'[1] культура'!L6</f>
        <v>33666.699999999997</v>
      </c>
      <c r="E7" s="13">
        <f t="shared" ref="E7:E40" si="0">D7*0.302</f>
        <v>10167.343399999998</v>
      </c>
      <c r="F7" s="14">
        <f>[1]Связь!I8</f>
        <v>182.16</v>
      </c>
      <c r="G7" s="14">
        <f>'[1]Ком. услуги'!S9</f>
        <v>180.47640000000001</v>
      </c>
      <c r="H7" s="13">
        <f t="shared" ref="H7:H12" si="1">I7+J7+L7+K7</f>
        <v>41.9132581</v>
      </c>
      <c r="I7" s="14">
        <f>'[1]Налоги расчет'!K7</f>
        <v>17.198573099999997</v>
      </c>
      <c r="J7" s="14">
        <f>'[1]Налоги расчет'!F7</f>
        <v>20.113885000000003</v>
      </c>
      <c r="K7" s="13">
        <f>'[1]Налоги расчет'!AI7</f>
        <v>4.6007999999999996</v>
      </c>
      <c r="L7" s="14">
        <v>0</v>
      </c>
      <c r="M7" s="14">
        <f t="shared" ref="M7:M12" si="2">D7+E7+F7+G7+H7</f>
        <v>44238.593058099999</v>
      </c>
      <c r="N7" s="13">
        <f>'[1]МатЗатр '!M4</f>
        <v>14844.2</v>
      </c>
      <c r="O7" s="14">
        <f t="shared" ref="O7:O12" si="3">M7+N7</f>
        <v>59082.793058099996</v>
      </c>
    </row>
    <row r="8" spans="1:15" s="18" customFormat="1" ht="37.5">
      <c r="A8" s="16">
        <v>1</v>
      </c>
      <c r="B8" s="17" t="s">
        <v>25</v>
      </c>
      <c r="C8" s="148" t="s">
        <v>26</v>
      </c>
      <c r="D8" s="13">
        <f>'[1] культура'!L7</f>
        <v>70444.042536000008</v>
      </c>
      <c r="E8" s="13">
        <f t="shared" si="0"/>
        <v>21274.100845872003</v>
      </c>
      <c r="F8" s="13">
        <f>[1]Связь!I9</f>
        <v>75.680000000000007</v>
      </c>
      <c r="G8" s="13">
        <f>'[1]Ком. услуги'!S10</f>
        <v>1866.376</v>
      </c>
      <c r="H8" s="13">
        <f t="shared" si="1"/>
        <v>815.93697289999989</v>
      </c>
      <c r="I8" s="13">
        <f>'[1]Налоги расчет'!K8</f>
        <v>247.88414689999996</v>
      </c>
      <c r="J8" s="14">
        <f>'[1]Налоги расчет'!F8</f>
        <v>567.26962600000002</v>
      </c>
      <c r="K8" s="13">
        <f>'[1]Налоги расчет'!AI8</f>
        <v>0.78320000000000001</v>
      </c>
      <c r="L8" s="13">
        <v>0</v>
      </c>
      <c r="M8" s="13">
        <f t="shared" si="2"/>
        <v>94476.13635477201</v>
      </c>
      <c r="N8" s="13">
        <f>'[1]МатЗатр '!M5</f>
        <v>51321.020000000004</v>
      </c>
      <c r="O8" s="13">
        <f t="shared" si="3"/>
        <v>145797.15635477201</v>
      </c>
    </row>
    <row r="9" spans="1:15" ht="56.25">
      <c r="A9" s="16">
        <v>2</v>
      </c>
      <c r="B9" s="17" t="s">
        <v>27</v>
      </c>
      <c r="C9" s="148"/>
      <c r="D9" s="13">
        <f>'[1] культура'!L8</f>
        <v>15522.069152073733</v>
      </c>
      <c r="E9" s="13">
        <f t="shared" si="0"/>
        <v>4687.6648839262671</v>
      </c>
      <c r="F9" s="13">
        <f>[1]Связь!I10</f>
        <v>30.44</v>
      </c>
      <c r="G9" s="13">
        <f>'[1]Ком. услуги'!S11</f>
        <v>797.60800000000006</v>
      </c>
      <c r="H9" s="13">
        <f t="shared" si="1"/>
        <v>137.1999897</v>
      </c>
      <c r="I9" s="13">
        <f>'[1]Налоги расчет'!K9</f>
        <v>52.1180187</v>
      </c>
      <c r="J9" s="14">
        <f>'[1]Налоги расчет'!F9</f>
        <v>83.163971000000004</v>
      </c>
      <c r="K9" s="13">
        <f>'[1]Налоги расчет'!AI9</f>
        <v>1.9179999999999999</v>
      </c>
      <c r="L9" s="13">
        <v>0</v>
      </c>
      <c r="M9" s="13">
        <f t="shared" si="2"/>
        <v>21174.982025699999</v>
      </c>
      <c r="N9" s="13">
        <f>'[1]МатЗатр '!M6</f>
        <v>88000.799999999988</v>
      </c>
      <c r="O9" s="13">
        <f t="shared" si="3"/>
        <v>109175.78202569998</v>
      </c>
    </row>
    <row r="10" spans="1:15" ht="60" customHeight="1">
      <c r="A10" s="16">
        <v>3</v>
      </c>
      <c r="B10" s="17" t="s">
        <v>28</v>
      </c>
      <c r="C10" s="148"/>
      <c r="D10" s="13">
        <f>'[1] культура'!L9</f>
        <v>30813.813600000001</v>
      </c>
      <c r="E10" s="13">
        <f t="shared" si="0"/>
        <v>9305.7717071999996</v>
      </c>
      <c r="F10" s="13">
        <f>[1]Связь!I11</f>
        <v>67.040000000000006</v>
      </c>
      <c r="G10" s="13">
        <f>'[1]Ком. услуги'!S12</f>
        <v>3460</v>
      </c>
      <c r="H10" s="13">
        <f t="shared" si="1"/>
        <v>15.958674000000002</v>
      </c>
      <c r="I10" s="13">
        <f>'[1]Налоги расчет'!K10</f>
        <v>0</v>
      </c>
      <c r="J10" s="14">
        <f>'[1]Налоги расчет'!F10</f>
        <v>11.322674000000001</v>
      </c>
      <c r="K10" s="13">
        <f>'[1]Налоги расчет'!AI10</f>
        <v>4.6360000000000001</v>
      </c>
      <c r="L10" s="13">
        <v>0</v>
      </c>
      <c r="M10" s="13">
        <f t="shared" si="2"/>
        <v>43662.583981200005</v>
      </c>
      <c r="N10" s="13">
        <f>'[1]МатЗатр '!M7</f>
        <v>25817.440000000002</v>
      </c>
      <c r="O10" s="13">
        <f t="shared" si="3"/>
        <v>69480.023981200007</v>
      </c>
    </row>
    <row r="11" spans="1:15" ht="56.25">
      <c r="A11" s="16">
        <v>4</v>
      </c>
      <c r="B11" s="17" t="s">
        <v>29</v>
      </c>
      <c r="C11" s="148"/>
      <c r="D11" s="13">
        <f>'[1] культура'!L10</f>
        <v>7381.4519999999993</v>
      </c>
      <c r="E11" s="13">
        <f t="shared" si="0"/>
        <v>2229.1985039999995</v>
      </c>
      <c r="F11" s="13">
        <f>[1]Связь!I12</f>
        <v>42.08</v>
      </c>
      <c r="G11" s="13">
        <f>'[1]Ком. услуги'!S13</f>
        <v>0</v>
      </c>
      <c r="H11" s="13">
        <f t="shared" si="1"/>
        <v>15.351375000000001</v>
      </c>
      <c r="I11" s="13">
        <f>'[1]Налоги расчет'!K11</f>
        <v>7.6799999999999988</v>
      </c>
      <c r="J11" s="14">
        <f>'[1]Налоги расчет'!F11</f>
        <v>5.5673750000000011</v>
      </c>
      <c r="K11" s="13">
        <f>'[1]Налоги расчет'!AI11</f>
        <v>2.1040000000000001</v>
      </c>
      <c r="L11" s="13">
        <v>0</v>
      </c>
      <c r="M11" s="13">
        <f t="shared" si="2"/>
        <v>9668.0818789999994</v>
      </c>
      <c r="N11" s="13">
        <f>'[1]МатЗатр '!M8</f>
        <v>20496.200000000004</v>
      </c>
      <c r="O11" s="13">
        <f t="shared" si="3"/>
        <v>30164.281879000002</v>
      </c>
    </row>
    <row r="12" spans="1:15" ht="37.5">
      <c r="A12" s="16">
        <v>5</v>
      </c>
      <c r="B12" s="17" t="s">
        <v>30</v>
      </c>
      <c r="C12" s="148"/>
      <c r="D12" s="13">
        <f>'[1] культура'!L11</f>
        <v>8368.0920000000006</v>
      </c>
      <c r="E12" s="13">
        <f t="shared" si="0"/>
        <v>2527.1637840000003</v>
      </c>
      <c r="F12" s="13">
        <f>[1]Связь!I13</f>
        <v>48.8</v>
      </c>
      <c r="G12" s="13">
        <f>'[1]Ком. услуги'!S14</f>
        <v>212</v>
      </c>
      <c r="H12" s="13">
        <f t="shared" si="1"/>
        <v>11.040040000000001</v>
      </c>
      <c r="I12" s="13">
        <f>'[1]Налоги расчет'!K12</f>
        <v>0</v>
      </c>
      <c r="J12" s="14">
        <f>'[1]Налоги расчет'!F12</f>
        <v>11.040040000000001</v>
      </c>
      <c r="K12" s="13">
        <f>'[1]Налоги расчет'!AI12</f>
        <v>0</v>
      </c>
      <c r="L12" s="13">
        <v>0</v>
      </c>
      <c r="M12" s="13">
        <f t="shared" si="2"/>
        <v>11167.095824</v>
      </c>
      <c r="N12" s="13">
        <f>'[1]МатЗатр '!M9</f>
        <v>6589.9660000000003</v>
      </c>
      <c r="O12" s="13">
        <f t="shared" si="3"/>
        <v>17757.061824</v>
      </c>
    </row>
    <row r="13" spans="1:15" s="24" customFormat="1">
      <c r="A13" s="19"/>
      <c r="B13" s="20" t="s">
        <v>31</v>
      </c>
      <c r="C13" s="21" t="s">
        <v>32</v>
      </c>
      <c r="D13" s="22">
        <f t="shared" ref="D13:O13" si="4">SUM(D8:D12)</f>
        <v>132529.46928807374</v>
      </c>
      <c r="E13" s="22">
        <f t="shared" si="4"/>
        <v>40023.899724998264</v>
      </c>
      <c r="F13" s="23">
        <f t="shared" si="4"/>
        <v>264.04000000000002</v>
      </c>
      <c r="G13" s="23">
        <f t="shared" si="4"/>
        <v>6335.9840000000004</v>
      </c>
      <c r="H13" s="23">
        <f t="shared" si="4"/>
        <v>995.48705159999975</v>
      </c>
      <c r="I13" s="23">
        <f t="shared" si="4"/>
        <v>307.68216559999996</v>
      </c>
      <c r="J13" s="23">
        <f t="shared" si="4"/>
        <v>678.36368599999992</v>
      </c>
      <c r="K13" s="23">
        <f t="shared" si="4"/>
        <v>9.4412000000000003</v>
      </c>
      <c r="L13" s="23">
        <f t="shared" si="4"/>
        <v>0</v>
      </c>
      <c r="M13" s="23">
        <f t="shared" si="4"/>
        <v>180148.880064672</v>
      </c>
      <c r="N13" s="13">
        <f>'[1]МатЗатр '!M10</f>
        <v>192225.42600000004</v>
      </c>
      <c r="O13" s="23">
        <f t="shared" si="4"/>
        <v>372374.30606467201</v>
      </c>
    </row>
    <row r="14" spans="1:15" s="18" customFormat="1" ht="56.25">
      <c r="A14" s="16">
        <v>1</v>
      </c>
      <c r="B14" s="17" t="s">
        <v>33</v>
      </c>
      <c r="C14" s="148" t="s">
        <v>34</v>
      </c>
      <c r="D14" s="13">
        <f>'[1] культура'!L13</f>
        <v>47247.978000000003</v>
      </c>
      <c r="E14" s="13">
        <f t="shared" si="0"/>
        <v>14268.889356</v>
      </c>
      <c r="F14" s="13">
        <f>[1]Связь!I15</f>
        <v>159.72</v>
      </c>
      <c r="G14" s="13">
        <f>'[1]Ком. услуги'!S16</f>
        <v>2498.3520000000003</v>
      </c>
      <c r="H14" s="13">
        <f>I14+J14+L14+K14</f>
        <v>1692.9336940300002</v>
      </c>
      <c r="I14" s="13">
        <f>'[1]Налоги расчет'!K14</f>
        <v>291.34233603000001</v>
      </c>
      <c r="J14" s="13">
        <f>'[1]Налоги расчет'!F14</f>
        <v>1400.5813580000001</v>
      </c>
      <c r="K14" s="13">
        <f>'[1]Налоги расчет'!AI14</f>
        <v>1.01</v>
      </c>
      <c r="L14" s="13">
        <v>0</v>
      </c>
      <c r="M14" s="13">
        <f>D14+E14+F14+G14+H14</f>
        <v>65867.873050030001</v>
      </c>
      <c r="N14" s="13">
        <f>'[1]МатЗатр '!M11</f>
        <v>10697.776</v>
      </c>
      <c r="O14" s="13">
        <f>M14+N14</f>
        <v>76565.649050029999</v>
      </c>
    </row>
    <row r="15" spans="1:15" ht="39.75" customHeight="1">
      <c r="A15" s="16">
        <v>2</v>
      </c>
      <c r="B15" s="17" t="s">
        <v>35</v>
      </c>
      <c r="C15" s="148"/>
      <c r="D15" s="13">
        <f>'[1] культура'!L14</f>
        <v>9012.2179999999989</v>
      </c>
      <c r="E15" s="13">
        <f t="shared" si="0"/>
        <v>2721.6898359999996</v>
      </c>
      <c r="F15" s="13">
        <f>[1]Связь!I16</f>
        <v>23.72</v>
      </c>
      <c r="G15" s="13">
        <f>'[1]Ком. услуги'!S17</f>
        <v>117.29640000000001</v>
      </c>
      <c r="H15" s="13">
        <f>I15+J15+L15+K15</f>
        <v>2.2509370000000004</v>
      </c>
      <c r="I15" s="13">
        <f>'[1]Налоги расчет'!K15</f>
        <v>0</v>
      </c>
      <c r="J15" s="13">
        <f>'[1]Налоги расчет'!F15</f>
        <v>1.1909370000000001</v>
      </c>
      <c r="K15" s="13">
        <f>'[1]Налоги расчет'!AI15</f>
        <v>1.06</v>
      </c>
      <c r="L15" s="13">
        <v>0</v>
      </c>
      <c r="M15" s="13">
        <f>D15+E15+F15+G15+H15</f>
        <v>11877.175172999998</v>
      </c>
      <c r="N15" s="13">
        <f>'[1]МатЗатр '!M12</f>
        <v>2353.8999999999996</v>
      </c>
      <c r="O15" s="13">
        <f>M15+N15</f>
        <v>14231.075172999997</v>
      </c>
    </row>
    <row r="16" spans="1:15" ht="39.75" customHeight="1">
      <c r="A16" s="16">
        <v>3</v>
      </c>
      <c r="B16" s="17" t="s">
        <v>36</v>
      </c>
      <c r="C16" s="148"/>
      <c r="D16" s="13">
        <f>'[1] культура'!L15</f>
        <v>3068.2439999999997</v>
      </c>
      <c r="E16" s="13">
        <f t="shared" si="0"/>
        <v>926.60968799999989</v>
      </c>
      <c r="F16" s="13">
        <f>[1]Связь!I17</f>
        <v>20.72</v>
      </c>
      <c r="G16" s="13">
        <f>'[1]Ком. услуги'!S18</f>
        <v>69.460000000000008</v>
      </c>
      <c r="H16" s="13">
        <f>I16+J16+L16+K16</f>
        <v>14.046483000000002</v>
      </c>
      <c r="I16" s="13">
        <f>'[1]Налоги расчет'!K16</f>
        <v>0</v>
      </c>
      <c r="J16" s="13">
        <f>'[1]Налоги расчет'!F16</f>
        <v>14.046483000000002</v>
      </c>
      <c r="K16" s="13">
        <f>'[1]Налоги расчет'!AI16</f>
        <v>0</v>
      </c>
      <c r="L16" s="13">
        <v>0</v>
      </c>
      <c r="M16" s="13">
        <f>D16+E16+F16+G16+H16</f>
        <v>4099.0801709999996</v>
      </c>
      <c r="N16" s="13">
        <f>'[1]МатЗатр '!M13</f>
        <v>3253.6</v>
      </c>
      <c r="O16" s="13">
        <f>M16+N16</f>
        <v>7352.680171</v>
      </c>
    </row>
    <row r="17" spans="1:15" s="24" customFormat="1">
      <c r="A17" s="19"/>
      <c r="B17" s="20" t="s">
        <v>37</v>
      </c>
      <c r="C17" s="21" t="s">
        <v>38</v>
      </c>
      <c r="D17" s="25">
        <f t="shared" ref="D17:O17" si="5">SUM(D14:D16)</f>
        <v>59328.44</v>
      </c>
      <c r="E17" s="25">
        <f t="shared" si="5"/>
        <v>17917.188879999998</v>
      </c>
      <c r="F17" s="23">
        <f t="shared" si="5"/>
        <v>204.16</v>
      </c>
      <c r="G17" s="23">
        <f t="shared" si="5"/>
        <v>2685.1084000000005</v>
      </c>
      <c r="H17" s="23">
        <f t="shared" si="5"/>
        <v>1709.2311140300003</v>
      </c>
      <c r="I17" s="23">
        <f t="shared" si="5"/>
        <v>291.34233603000001</v>
      </c>
      <c r="J17" s="23">
        <f t="shared" si="5"/>
        <v>1415.8187780000003</v>
      </c>
      <c r="K17" s="23">
        <f t="shared" si="5"/>
        <v>2.0700000000000003</v>
      </c>
      <c r="L17" s="23">
        <f t="shared" si="5"/>
        <v>0</v>
      </c>
      <c r="M17" s="23">
        <f t="shared" si="5"/>
        <v>81844.128394029991</v>
      </c>
      <c r="N17" s="23">
        <f t="shared" si="5"/>
        <v>16305.276</v>
      </c>
      <c r="O17" s="23">
        <f t="shared" si="5"/>
        <v>98149.404394030003</v>
      </c>
    </row>
    <row r="18" spans="1:15" ht="59.25" customHeight="1">
      <c r="A18" s="16">
        <v>1</v>
      </c>
      <c r="B18" s="17" t="s">
        <v>39</v>
      </c>
      <c r="C18" s="148" t="s">
        <v>40</v>
      </c>
      <c r="D18" s="13">
        <f>'[1] культура'!L17</f>
        <v>43141.446399999993</v>
      </c>
      <c r="E18" s="13">
        <f t="shared" si="0"/>
        <v>13028.716812799998</v>
      </c>
      <c r="F18" s="13">
        <v>0</v>
      </c>
      <c r="G18" s="13">
        <f>'[1]Ком. услуги'!S20</f>
        <v>2993.6480000000001</v>
      </c>
      <c r="H18" s="13">
        <f>I18+J18+L18+K18</f>
        <v>1500.5097726000001</v>
      </c>
      <c r="I18" s="13">
        <f>'[1]Налоги расчет'!K18</f>
        <v>637.42911060000006</v>
      </c>
      <c r="J18" s="13">
        <f>'[1]Налоги расчет'!F18</f>
        <v>828.76466200000016</v>
      </c>
      <c r="K18" s="13">
        <f>'[1]Налоги расчет'!AI18</f>
        <v>34.316000000000003</v>
      </c>
      <c r="L18" s="13">
        <v>0</v>
      </c>
      <c r="M18" s="13">
        <f t="shared" ref="M18:M40" si="6">D18+E18+F18+G18+H18</f>
        <v>60664.320985399994</v>
      </c>
      <c r="N18" s="13">
        <f>'[1]МатЗатр '!M15</f>
        <v>59963.5</v>
      </c>
      <c r="O18" s="13">
        <f t="shared" ref="O18:O40" si="7">M18+N18</f>
        <v>120627.8209854</v>
      </c>
    </row>
    <row r="19" spans="1:15" ht="45" customHeight="1">
      <c r="A19" s="16">
        <v>2</v>
      </c>
      <c r="B19" s="17" t="s">
        <v>41</v>
      </c>
      <c r="C19" s="148"/>
      <c r="D19" s="13">
        <f>'[1] культура'!L18</f>
        <v>32875.105600000003</v>
      </c>
      <c r="E19" s="13">
        <f t="shared" si="0"/>
        <v>9928.2818912000002</v>
      </c>
      <c r="F19" s="13">
        <v>0</v>
      </c>
      <c r="G19" s="13">
        <f>'[1]Ком. услуги'!S21</f>
        <v>1272.5640000000001</v>
      </c>
      <c r="H19" s="13">
        <f t="shared" ref="H19:H39" si="8">I19+J19+L19+K19</f>
        <v>505.19324099999994</v>
      </c>
      <c r="I19" s="13">
        <f>'[1]Налоги расчет'!K19</f>
        <v>345.46374599999996</v>
      </c>
      <c r="J19" s="13">
        <f>'[1]Налоги расчет'!F19</f>
        <v>145.198295</v>
      </c>
      <c r="K19" s="13">
        <f>'[1]Налоги расчет'!AI19</f>
        <v>14.5312</v>
      </c>
      <c r="L19" s="13">
        <v>0</v>
      </c>
      <c r="M19" s="13">
        <f t="shared" si="6"/>
        <v>44581.144732200002</v>
      </c>
      <c r="N19" s="13">
        <f>'[1]МатЗатр '!M16</f>
        <v>23752.9</v>
      </c>
      <c r="O19" s="13">
        <f t="shared" si="7"/>
        <v>68334.044732200011</v>
      </c>
    </row>
    <row r="20" spans="1:15" ht="58.5" customHeight="1">
      <c r="A20" s="16">
        <v>3</v>
      </c>
      <c r="B20" s="17" t="s">
        <v>42</v>
      </c>
      <c r="C20" s="148"/>
      <c r="D20" s="13">
        <f>'[1] культура'!L19</f>
        <v>32782.17773333333</v>
      </c>
      <c r="E20" s="13">
        <f t="shared" si="0"/>
        <v>9900.2176754666652</v>
      </c>
      <c r="F20" s="13">
        <v>0</v>
      </c>
      <c r="G20" s="13">
        <f>'[1]Ком. услуги'!S22</f>
        <v>1496.4680000000001</v>
      </c>
      <c r="H20" s="13">
        <f t="shared" si="8"/>
        <v>2585.3526606000009</v>
      </c>
      <c r="I20" s="13">
        <f>'[1]Налоги расчет'!K20</f>
        <v>189.37083959999998</v>
      </c>
      <c r="J20" s="13">
        <f>'[1]Налоги расчет'!F20</f>
        <v>2379.3738210000006</v>
      </c>
      <c r="K20" s="13">
        <f>'[1]Налоги расчет'!AI20</f>
        <v>16.608000000000001</v>
      </c>
      <c r="L20" s="13">
        <v>0</v>
      </c>
      <c r="M20" s="13">
        <f t="shared" si="6"/>
        <v>46764.216069399998</v>
      </c>
      <c r="N20" s="13">
        <f>'[1]МатЗатр '!M17</f>
        <v>34673.300000000003</v>
      </c>
      <c r="O20" s="13">
        <f t="shared" si="7"/>
        <v>81437.516069400008</v>
      </c>
    </row>
    <row r="21" spans="1:15" ht="56.25" customHeight="1">
      <c r="A21" s="16">
        <v>4</v>
      </c>
      <c r="B21" s="17" t="s">
        <v>43</v>
      </c>
      <c r="C21" s="148"/>
      <c r="D21" s="13">
        <f>'[1] культура'!L20</f>
        <v>28978.6</v>
      </c>
      <c r="E21" s="13">
        <f t="shared" si="0"/>
        <v>8751.5371999999988</v>
      </c>
      <c r="F21" s="13">
        <v>0</v>
      </c>
      <c r="G21" s="13">
        <f>'[1]Ком. услуги'!S23</f>
        <v>740.46</v>
      </c>
      <c r="H21" s="13">
        <f t="shared" si="8"/>
        <v>5214.7268179999992</v>
      </c>
      <c r="I21" s="13">
        <f>'[1]Налоги расчет'!K21</f>
        <v>266.54656499999999</v>
      </c>
      <c r="J21" s="13">
        <f>'[1]Налоги расчет'!F21</f>
        <v>4936.008253</v>
      </c>
      <c r="K21" s="13">
        <f>'[1]Налоги расчет'!AI21</f>
        <v>12.172000000000001</v>
      </c>
      <c r="L21" s="13">
        <v>0</v>
      </c>
      <c r="M21" s="13">
        <f t="shared" si="6"/>
        <v>43685.324017999999</v>
      </c>
      <c r="N21" s="13">
        <f>'[1]МатЗатр '!M18</f>
        <v>7037.3</v>
      </c>
      <c r="O21" s="13">
        <f t="shared" si="7"/>
        <v>50722.624018000002</v>
      </c>
    </row>
    <row r="22" spans="1:15" ht="60" customHeight="1">
      <c r="A22" s="16">
        <v>5</v>
      </c>
      <c r="B22" s="17" t="s">
        <v>44</v>
      </c>
      <c r="C22" s="148"/>
      <c r="D22" s="13">
        <f>'[1] культура'!L21</f>
        <v>20376.486353302607</v>
      </c>
      <c r="E22" s="13">
        <f t="shared" si="0"/>
        <v>6153.698878697387</v>
      </c>
      <c r="F22" s="13">
        <v>0</v>
      </c>
      <c r="G22" s="13">
        <f>'[1]Ком. услуги'!S24</f>
        <v>726.10799999999995</v>
      </c>
      <c r="H22" s="13">
        <f t="shared" si="8"/>
        <v>384.84333450000003</v>
      </c>
      <c r="I22" s="13">
        <f>'[1]Налоги расчет'!K22</f>
        <v>220.11633449999999</v>
      </c>
      <c r="J22" s="13">
        <f>'[1]Налоги расчет'!F22</f>
        <v>162.74500000000003</v>
      </c>
      <c r="K22" s="13">
        <f>'[1]Налоги расчет'!AI22</f>
        <v>1.982</v>
      </c>
      <c r="L22" s="13">
        <v>0</v>
      </c>
      <c r="M22" s="13">
        <f t="shared" si="6"/>
        <v>27641.136566499998</v>
      </c>
      <c r="N22" s="13">
        <f>'[1]МатЗатр '!M19</f>
        <v>8951</v>
      </c>
      <c r="O22" s="13">
        <f t="shared" si="7"/>
        <v>36592.136566499998</v>
      </c>
    </row>
    <row r="23" spans="1:15" ht="58.5" customHeight="1">
      <c r="A23" s="16">
        <v>6</v>
      </c>
      <c r="B23" s="17" t="s">
        <v>45</v>
      </c>
      <c r="C23" s="148"/>
      <c r="D23" s="13">
        <f>'[1] культура'!L22</f>
        <v>20599.010168970814</v>
      </c>
      <c r="E23" s="13">
        <f t="shared" si="0"/>
        <v>6220.9010710291859</v>
      </c>
      <c r="F23" s="13">
        <v>0</v>
      </c>
      <c r="G23" s="13">
        <f>'[1]Ком. услуги'!S25</f>
        <v>0</v>
      </c>
      <c r="H23" s="13">
        <f t="shared" si="8"/>
        <v>26.142734000000004</v>
      </c>
      <c r="I23" s="13">
        <f>'[1]Налоги расчет'!K23</f>
        <v>0</v>
      </c>
      <c r="J23" s="13">
        <f>'[1]Налоги расчет'!F23</f>
        <v>15.694734000000002</v>
      </c>
      <c r="K23" s="13">
        <f>'[1]Налоги расчет'!AI23</f>
        <v>10.448</v>
      </c>
      <c r="L23" s="13">
        <v>0</v>
      </c>
      <c r="M23" s="13">
        <f t="shared" si="6"/>
        <v>26846.053974000002</v>
      </c>
      <c r="N23" s="13">
        <f>'[1]МатЗатр '!M20</f>
        <v>7167.77</v>
      </c>
      <c r="O23" s="13">
        <f t="shared" si="7"/>
        <v>34013.823973999999</v>
      </c>
    </row>
    <row r="24" spans="1:15" ht="37.5">
      <c r="A24" s="16">
        <v>7</v>
      </c>
      <c r="B24" s="17" t="s">
        <v>46</v>
      </c>
      <c r="C24" s="148"/>
      <c r="D24" s="13">
        <f>'[1] культура'!L23</f>
        <v>22142.608549923196</v>
      </c>
      <c r="E24" s="13">
        <f t="shared" si="0"/>
        <v>6687.0677820768051</v>
      </c>
      <c r="F24" s="13">
        <v>0</v>
      </c>
      <c r="G24" s="13">
        <f>'[1]Ком. услуги'!S26</f>
        <v>676.89599999999996</v>
      </c>
      <c r="H24" s="13">
        <f t="shared" si="8"/>
        <v>1055.3017768</v>
      </c>
      <c r="I24" s="13">
        <f>'[1]Налоги расчет'!K24</f>
        <v>163.70355479999998</v>
      </c>
      <c r="J24" s="13">
        <f>'[1]Налоги расчет'!F24</f>
        <v>881.63902200000007</v>
      </c>
      <c r="K24" s="13">
        <f>'[1]Налоги расчет'!AI24</f>
        <v>9.9592000000000009</v>
      </c>
      <c r="L24" s="13">
        <v>0</v>
      </c>
      <c r="M24" s="13">
        <f t="shared" si="6"/>
        <v>30561.874108800002</v>
      </c>
      <c r="N24" s="13">
        <f>'[1]МатЗатр '!M21</f>
        <v>15788.6</v>
      </c>
      <c r="O24" s="13">
        <f t="shared" si="7"/>
        <v>46350.474108800001</v>
      </c>
    </row>
    <row r="25" spans="1:15" ht="45" customHeight="1">
      <c r="A25" s="16">
        <v>8</v>
      </c>
      <c r="B25" s="17" t="s">
        <v>47</v>
      </c>
      <c r="C25" s="148"/>
      <c r="D25" s="13">
        <f>'[1] культура'!L24</f>
        <v>68881.87</v>
      </c>
      <c r="E25" s="13">
        <f t="shared" si="0"/>
        <v>20802.324739999996</v>
      </c>
      <c r="F25" s="13">
        <v>0</v>
      </c>
      <c r="G25" s="13">
        <f>'[1]Ком. услуги'!S27</f>
        <v>0</v>
      </c>
      <c r="H25" s="13">
        <f t="shared" si="8"/>
        <v>75.174443000000025</v>
      </c>
      <c r="I25" s="13">
        <f>'[1]Налоги расчет'!K25</f>
        <v>0</v>
      </c>
      <c r="J25" s="13">
        <f>'[1]Налоги расчет'!F25</f>
        <v>70.854443000000018</v>
      </c>
      <c r="K25" s="13">
        <f>'[1]Налоги расчет'!AI25</f>
        <v>4.32</v>
      </c>
      <c r="L25" s="13">
        <v>0</v>
      </c>
      <c r="M25" s="13">
        <f t="shared" si="6"/>
        <v>89759.369182999988</v>
      </c>
      <c r="N25" s="13">
        <f>'[1]МатЗатр '!M22</f>
        <v>12008</v>
      </c>
      <c r="O25" s="13">
        <f t="shared" si="7"/>
        <v>101767.36918299999</v>
      </c>
    </row>
    <row r="26" spans="1:15" ht="56.25">
      <c r="A26" s="16">
        <v>9</v>
      </c>
      <c r="B26" s="17" t="s">
        <v>48</v>
      </c>
      <c r="C26" s="148"/>
      <c r="D26" s="13">
        <f>'[1] культура'!L25</f>
        <v>15191.652</v>
      </c>
      <c r="E26" s="13">
        <f t="shared" si="0"/>
        <v>4587.8789040000001</v>
      </c>
      <c r="F26" s="13">
        <v>0</v>
      </c>
      <c r="G26" s="13">
        <f>'[1]Ком. услуги'!S28</f>
        <v>204.12</v>
      </c>
      <c r="H26" s="13">
        <f t="shared" si="8"/>
        <v>102.87389900000001</v>
      </c>
      <c r="I26" s="13">
        <f>'[1]Налоги расчет'!K26</f>
        <v>59.203244999999995</v>
      </c>
      <c r="J26" s="13">
        <f>'[1]Налоги расчет'!F26</f>
        <v>36.250654000000004</v>
      </c>
      <c r="K26" s="13">
        <f>'[1]Налоги расчет'!AI26</f>
        <v>7.42</v>
      </c>
      <c r="L26" s="13">
        <v>0</v>
      </c>
      <c r="M26" s="13">
        <f t="shared" si="6"/>
        <v>20086.524802999997</v>
      </c>
      <c r="N26" s="13">
        <f>'[1]МатЗатр '!M23</f>
        <v>6041</v>
      </c>
      <c r="O26" s="13">
        <f t="shared" si="7"/>
        <v>26127.524802999997</v>
      </c>
    </row>
    <row r="27" spans="1:15" ht="40.5" customHeight="1">
      <c r="A27" s="16">
        <v>10</v>
      </c>
      <c r="B27" s="17" t="s">
        <v>49</v>
      </c>
      <c r="C27" s="148"/>
      <c r="D27" s="13">
        <f>'[1] культура'!L26</f>
        <v>11087.434799999999</v>
      </c>
      <c r="E27" s="13">
        <f t="shared" si="0"/>
        <v>3348.4053095999998</v>
      </c>
      <c r="F27" s="13">
        <v>0</v>
      </c>
      <c r="G27" s="13">
        <f>'[1]Ком. услуги'!S29</f>
        <v>0</v>
      </c>
      <c r="H27" s="13">
        <f t="shared" si="8"/>
        <v>13.84273</v>
      </c>
      <c r="I27" s="13">
        <f>'[1]Налоги расчет'!K27</f>
        <v>0</v>
      </c>
      <c r="J27" s="13">
        <f>'[1]Налоги расчет'!F27</f>
        <v>3.5027300000000006</v>
      </c>
      <c r="K27" s="13">
        <f>'[1]Налоги расчет'!AI27</f>
        <v>10.34</v>
      </c>
      <c r="L27" s="13">
        <v>0</v>
      </c>
      <c r="M27" s="13">
        <f t="shared" si="6"/>
        <v>14449.682839599998</v>
      </c>
      <c r="N27" s="13">
        <f>'[1]МатЗатр '!M24</f>
        <v>3990</v>
      </c>
      <c r="O27" s="13">
        <f t="shared" si="7"/>
        <v>18439.682839599998</v>
      </c>
    </row>
    <row r="28" spans="1:15" ht="37.5">
      <c r="A28" s="16">
        <v>11</v>
      </c>
      <c r="B28" s="17" t="s">
        <v>50</v>
      </c>
      <c r="C28" s="148"/>
      <c r="D28" s="13">
        <f>'[1] культура'!L27</f>
        <v>11062.714055299539</v>
      </c>
      <c r="E28" s="13">
        <f t="shared" si="0"/>
        <v>3340.9396447004606</v>
      </c>
      <c r="F28" s="13">
        <v>0</v>
      </c>
      <c r="G28" s="13">
        <f>'[1]Ком. услуги'!S30</f>
        <v>331.76</v>
      </c>
      <c r="H28" s="13">
        <f t="shared" si="8"/>
        <v>88.122848750000003</v>
      </c>
      <c r="I28" s="13">
        <f>'[1]Налоги расчет'!K28</f>
        <v>51.054483750000003</v>
      </c>
      <c r="J28" s="13">
        <f>'[1]Налоги расчет'!F28</f>
        <v>30.428365000000003</v>
      </c>
      <c r="K28" s="13">
        <f>'[1]Налоги расчет'!AI28</f>
        <v>6.64</v>
      </c>
      <c r="L28" s="13">
        <v>0</v>
      </c>
      <c r="M28" s="13">
        <f t="shared" si="6"/>
        <v>14823.536548749998</v>
      </c>
      <c r="N28" s="13">
        <f>'[1]МатЗатр '!M25</f>
        <v>5438</v>
      </c>
      <c r="O28" s="13">
        <f t="shared" si="7"/>
        <v>20261.536548749998</v>
      </c>
    </row>
    <row r="29" spans="1:15">
      <c r="A29" s="16">
        <v>12</v>
      </c>
      <c r="B29" s="17" t="s">
        <v>51</v>
      </c>
      <c r="C29" s="148"/>
      <c r="D29" s="13">
        <f>'[1] культура'!L28</f>
        <v>5770.9160000000002</v>
      </c>
      <c r="E29" s="13">
        <f t="shared" si="0"/>
        <v>1742.816632</v>
      </c>
      <c r="F29" s="13">
        <v>0</v>
      </c>
      <c r="G29" s="13">
        <f>'[1]Ком. услуги'!S31</f>
        <v>320.52800000000002</v>
      </c>
      <c r="H29" s="13">
        <f t="shared" si="8"/>
        <v>139.84589775999999</v>
      </c>
      <c r="I29" s="13">
        <f>'[1]Налоги расчет'!K29</f>
        <v>81.061545759999987</v>
      </c>
      <c r="J29" s="13">
        <f>'[1]Налоги расчет'!F29</f>
        <v>58.784352000000005</v>
      </c>
      <c r="K29" s="13">
        <f>'[1]Налоги расчет'!AI29</f>
        <v>0</v>
      </c>
      <c r="L29" s="13">
        <v>0</v>
      </c>
      <c r="M29" s="13">
        <f t="shared" si="6"/>
        <v>7974.1065297600007</v>
      </c>
      <c r="N29" s="13">
        <f>'[1]МатЗатр '!M26</f>
        <v>8950.1</v>
      </c>
      <c r="O29" s="13">
        <f t="shared" si="7"/>
        <v>16924.206529760002</v>
      </c>
    </row>
    <row r="30" spans="1:15" ht="37.5">
      <c r="A30" s="16">
        <v>13</v>
      </c>
      <c r="B30" s="17" t="s">
        <v>52</v>
      </c>
      <c r="C30" s="148"/>
      <c r="D30" s="13">
        <f>'[1] культура'!L29</f>
        <v>37567.15907219662</v>
      </c>
      <c r="E30" s="13">
        <f t="shared" si="0"/>
        <v>11345.282039803378</v>
      </c>
      <c r="F30" s="13">
        <v>0</v>
      </c>
      <c r="G30" s="13">
        <f>'[1]Ком. услуги'!S32</f>
        <v>595.08000000000004</v>
      </c>
      <c r="H30" s="13">
        <f t="shared" si="8"/>
        <v>879.29136160000007</v>
      </c>
      <c r="I30" s="13">
        <f>'[1]Налоги расчет'!K30</f>
        <v>136.7678286</v>
      </c>
      <c r="J30" s="13">
        <f>'[1]Налоги расчет'!F30</f>
        <v>729.72353300000009</v>
      </c>
      <c r="K30" s="13">
        <f>'[1]Налоги расчет'!AI30</f>
        <v>12.8</v>
      </c>
      <c r="L30" s="13">
        <v>0</v>
      </c>
      <c r="M30" s="13">
        <f t="shared" si="6"/>
        <v>50386.812473600003</v>
      </c>
      <c r="N30" s="13">
        <f>'[1]МатЗатр '!M27</f>
        <v>14713.7</v>
      </c>
      <c r="O30" s="13">
        <f t="shared" si="7"/>
        <v>65100.5124736</v>
      </c>
    </row>
    <row r="31" spans="1:15" ht="40.5" customHeight="1">
      <c r="A31" s="16">
        <v>14</v>
      </c>
      <c r="B31" s="17" t="s">
        <v>53</v>
      </c>
      <c r="C31" s="148"/>
      <c r="D31" s="13">
        <f>'[1] культура'!L30</f>
        <v>26606.853199999998</v>
      </c>
      <c r="E31" s="13">
        <f t="shared" si="0"/>
        <v>8035.2696663999986</v>
      </c>
      <c r="F31" s="13">
        <v>0</v>
      </c>
      <c r="G31" s="13">
        <f>'[1]Ком. услуги'!S33</f>
        <v>738.4</v>
      </c>
      <c r="H31" s="13">
        <f t="shared" si="8"/>
        <v>891.41110099999992</v>
      </c>
      <c r="I31" s="13">
        <f>'[1]Налоги расчет'!K31</f>
        <v>138.03627</v>
      </c>
      <c r="J31" s="13">
        <f>'[1]Налоги расчет'!F31</f>
        <v>753.37483099999997</v>
      </c>
      <c r="K31" s="13">
        <f>'[1]Налоги расчет'!AI31</f>
        <v>0</v>
      </c>
      <c r="L31" s="13">
        <v>0</v>
      </c>
      <c r="M31" s="13">
        <f t="shared" si="6"/>
        <v>36271.933967399993</v>
      </c>
      <c r="N31" s="13">
        <f>'[1]МатЗатр '!M28</f>
        <v>6662.67</v>
      </c>
      <c r="O31" s="13">
        <f t="shared" si="7"/>
        <v>42934.603967399991</v>
      </c>
    </row>
    <row r="32" spans="1:15" ht="57.75" customHeight="1">
      <c r="A32" s="16">
        <v>15</v>
      </c>
      <c r="B32" s="17" t="s">
        <v>54</v>
      </c>
      <c r="C32" s="148"/>
      <c r="D32" s="13">
        <f>'[1] культура'!L31</f>
        <v>20568.856</v>
      </c>
      <c r="E32" s="13">
        <f t="shared" si="0"/>
        <v>6211.7945119999995</v>
      </c>
      <c r="F32" s="13">
        <v>0</v>
      </c>
      <c r="G32" s="13">
        <f>'[1]Ком. услуги'!S34</f>
        <v>363.24</v>
      </c>
      <c r="H32" s="13">
        <f t="shared" si="8"/>
        <v>44.431744000000002</v>
      </c>
      <c r="I32" s="13">
        <f>'[1]Налоги расчет'!K32</f>
        <v>0</v>
      </c>
      <c r="J32" s="13">
        <f>'[1]Налоги расчет'!F32</f>
        <v>26.319744000000004</v>
      </c>
      <c r="K32" s="13">
        <f>'[1]Налоги расчет'!AI32</f>
        <v>18.111999999999998</v>
      </c>
      <c r="L32" s="13">
        <v>0</v>
      </c>
      <c r="M32" s="13">
        <f t="shared" si="6"/>
        <v>27188.322256000003</v>
      </c>
      <c r="N32" s="13">
        <f>'[1]МатЗатр '!M29</f>
        <v>2569.5</v>
      </c>
      <c r="O32" s="13">
        <f t="shared" si="7"/>
        <v>29757.822256000003</v>
      </c>
    </row>
    <row r="33" spans="1:15" ht="42.75" customHeight="1">
      <c r="A33" s="16">
        <v>16</v>
      </c>
      <c r="B33" s="17" t="s">
        <v>55</v>
      </c>
      <c r="C33" s="148"/>
      <c r="D33" s="13">
        <f>'[1] культура'!L32</f>
        <v>8321.3504000000012</v>
      </c>
      <c r="E33" s="13">
        <f t="shared" si="0"/>
        <v>2513.0478208000004</v>
      </c>
      <c r="F33" s="13">
        <v>0</v>
      </c>
      <c r="G33" s="13">
        <f>'[1]Ком. услуги'!S35</f>
        <v>88.6</v>
      </c>
      <c r="H33" s="13">
        <f t="shared" si="8"/>
        <v>11.4953036</v>
      </c>
      <c r="I33" s="13">
        <f>'[1]Налоги расчет'!K33</f>
        <v>1.5964326000000002</v>
      </c>
      <c r="J33" s="13">
        <f>'[1]Налоги расчет'!F33</f>
        <v>4.1652710000000006</v>
      </c>
      <c r="K33" s="13">
        <f>'[1]Налоги расчет'!AI33</f>
        <v>5.7336</v>
      </c>
      <c r="L33" s="13">
        <v>0</v>
      </c>
      <c r="M33" s="13">
        <f t="shared" si="6"/>
        <v>10934.493524400003</v>
      </c>
      <c r="N33" s="13">
        <f>'[1]МатЗатр '!M30</f>
        <v>2819.5</v>
      </c>
      <c r="O33" s="13">
        <f t="shared" si="7"/>
        <v>13753.993524400003</v>
      </c>
    </row>
    <row r="34" spans="1:15" ht="42.75" customHeight="1">
      <c r="A34" s="16">
        <v>17</v>
      </c>
      <c r="B34" s="17" t="s">
        <v>56</v>
      </c>
      <c r="C34" s="148"/>
      <c r="D34" s="13">
        <f>'[1] культура'!L33</f>
        <v>6658.6959999999999</v>
      </c>
      <c r="E34" s="13">
        <f t="shared" si="0"/>
        <v>2010.9261919999999</v>
      </c>
      <c r="F34" s="13">
        <v>0</v>
      </c>
      <c r="G34" s="13">
        <f>'[1]Ком. услуги'!S36</f>
        <v>0</v>
      </c>
      <c r="H34" s="13">
        <f t="shared" si="8"/>
        <v>21.213287999999999</v>
      </c>
      <c r="I34" s="13">
        <f>'[1]Налоги расчет'!K34</f>
        <v>0</v>
      </c>
      <c r="J34" s="13">
        <f>'[1]Налоги расчет'!F34</f>
        <v>16.513287999999999</v>
      </c>
      <c r="K34" s="13">
        <f>'[1]Налоги расчет'!AI34</f>
        <v>4.7</v>
      </c>
      <c r="L34" s="13">
        <v>0</v>
      </c>
      <c r="M34" s="13">
        <f t="shared" si="6"/>
        <v>8690.8354799999997</v>
      </c>
      <c r="N34" s="13">
        <f>'[1]МатЗатр '!M31</f>
        <v>843.2</v>
      </c>
      <c r="O34" s="13">
        <f t="shared" si="7"/>
        <v>9534.0354800000005</v>
      </c>
    </row>
    <row r="35" spans="1:15" ht="56.25">
      <c r="A35" s="16">
        <v>18</v>
      </c>
      <c r="B35" s="17" t="s">
        <v>57</v>
      </c>
      <c r="C35" s="148"/>
      <c r="D35" s="13">
        <f>'[1] культура'!L34</f>
        <v>9687.94</v>
      </c>
      <c r="E35" s="13">
        <f t="shared" si="0"/>
        <v>2925.7578800000001</v>
      </c>
      <c r="F35" s="13">
        <v>0</v>
      </c>
      <c r="G35" s="13">
        <f>'[1]Ком. услуги'!S37</f>
        <v>0</v>
      </c>
      <c r="H35" s="13">
        <f t="shared" si="8"/>
        <v>5.3891420000000005</v>
      </c>
      <c r="I35" s="13">
        <f>'[1]Налоги расчет'!K35</f>
        <v>0</v>
      </c>
      <c r="J35" s="13">
        <f>'[1]Налоги расчет'!F35</f>
        <v>5.3891420000000005</v>
      </c>
      <c r="K35" s="13">
        <f>'[1]Налоги расчет'!AI35</f>
        <v>0</v>
      </c>
      <c r="L35" s="13">
        <v>0</v>
      </c>
      <c r="M35" s="13">
        <f t="shared" si="6"/>
        <v>12619.087022</v>
      </c>
      <c r="N35" s="13">
        <f>'[1]МатЗатр '!M32</f>
        <v>2779.5</v>
      </c>
      <c r="O35" s="13">
        <f t="shared" si="7"/>
        <v>15398.587022</v>
      </c>
    </row>
    <row r="36" spans="1:15" ht="62.25" customHeight="1">
      <c r="A36" s="16">
        <v>19</v>
      </c>
      <c r="B36" s="17" t="s">
        <v>58</v>
      </c>
      <c r="C36" s="148"/>
      <c r="D36" s="13">
        <f>'[1] культура'!L35</f>
        <v>10305.019600000001</v>
      </c>
      <c r="E36" s="13">
        <f t="shared" si="0"/>
        <v>3112.1159192000005</v>
      </c>
      <c r="F36" s="13">
        <v>0</v>
      </c>
      <c r="G36" s="13">
        <f>'[1]Ком. услуги'!S38</f>
        <v>348.96799999999996</v>
      </c>
      <c r="H36" s="13">
        <f t="shared" si="8"/>
        <v>34.228602000000002</v>
      </c>
      <c r="I36" s="13">
        <f>'[1]Налоги расчет'!K36</f>
        <v>12.208013999999999</v>
      </c>
      <c r="J36" s="13">
        <f>'[1]Налоги расчет'!F36</f>
        <v>17.484588000000002</v>
      </c>
      <c r="K36" s="13">
        <f>'[1]Налоги расчет'!AI36</f>
        <v>4.5359999999999996</v>
      </c>
      <c r="L36" s="13">
        <v>0</v>
      </c>
      <c r="M36" s="13">
        <f t="shared" si="6"/>
        <v>13800.332121200001</v>
      </c>
      <c r="N36" s="13">
        <f>'[1]МатЗатр '!M33</f>
        <v>3100.0400000000004</v>
      </c>
      <c r="O36" s="13">
        <f t="shared" si="7"/>
        <v>16900.372121200002</v>
      </c>
    </row>
    <row r="37" spans="1:15" ht="47.25" customHeight="1">
      <c r="A37" s="16">
        <v>20</v>
      </c>
      <c r="B37" s="17" t="s">
        <v>59</v>
      </c>
      <c r="C37" s="148"/>
      <c r="D37" s="13">
        <f>'[1] культура'!L36</f>
        <v>47057.892000000007</v>
      </c>
      <c r="E37" s="13">
        <f t="shared" si="0"/>
        <v>14211.483384000001</v>
      </c>
      <c r="F37" s="13">
        <v>0</v>
      </c>
      <c r="G37" s="13">
        <f>'[1]Ком. услуги'!S39</f>
        <v>449.26399999999995</v>
      </c>
      <c r="H37" s="13">
        <f t="shared" si="8"/>
        <v>54.381569800000001</v>
      </c>
      <c r="I37" s="13">
        <f>'[1]Налоги расчет'!K37</f>
        <v>13.729012799999998</v>
      </c>
      <c r="J37" s="13">
        <f>'[1]Налоги расчет'!F37</f>
        <v>40.652557000000002</v>
      </c>
      <c r="K37" s="13">
        <f>'[1]Налоги расчет'!AI37</f>
        <v>0</v>
      </c>
      <c r="L37" s="13">
        <v>0</v>
      </c>
      <c r="M37" s="13">
        <f t="shared" si="6"/>
        <v>61773.020953800013</v>
      </c>
      <c r="N37" s="13">
        <f>'[1]МатЗатр '!M34</f>
        <v>17589</v>
      </c>
      <c r="O37" s="13">
        <f t="shared" si="7"/>
        <v>79362.020953800005</v>
      </c>
    </row>
    <row r="38" spans="1:15">
      <c r="A38" s="16">
        <v>21</v>
      </c>
      <c r="B38" s="17" t="s">
        <v>60</v>
      </c>
      <c r="C38" s="148"/>
      <c r="D38" s="13">
        <f>'[1] культура'!L37</f>
        <v>2023.9759999999999</v>
      </c>
      <c r="E38" s="13">
        <f t="shared" si="0"/>
        <v>611.24075199999993</v>
      </c>
      <c r="F38" s="13">
        <v>0</v>
      </c>
      <c r="G38" s="13">
        <f>'[1]Ком. услуги'!S40</f>
        <v>0</v>
      </c>
      <c r="H38" s="13">
        <f t="shared" si="8"/>
        <v>59.937625000000004</v>
      </c>
      <c r="I38" s="13">
        <f>'[1]Налоги расчет'!K38</f>
        <v>0</v>
      </c>
      <c r="J38" s="13">
        <f>'[1]Налоги расчет'!F38</f>
        <v>50.257625000000004</v>
      </c>
      <c r="K38" s="13">
        <f>'[1]Налоги расчет'!AI38</f>
        <v>9.68</v>
      </c>
      <c r="L38" s="13">
        <v>0</v>
      </c>
      <c r="M38" s="13">
        <f t="shared" si="6"/>
        <v>2695.1543769999998</v>
      </c>
      <c r="N38" s="13">
        <f>'[1]МатЗатр '!M35</f>
        <v>19334.599999999999</v>
      </c>
      <c r="O38" s="13">
        <f t="shared" si="7"/>
        <v>22029.754376999997</v>
      </c>
    </row>
    <row r="39" spans="1:15" ht="37.5">
      <c r="A39" s="16">
        <v>22</v>
      </c>
      <c r="B39" s="17" t="s">
        <v>61</v>
      </c>
      <c r="C39" s="148"/>
      <c r="D39" s="13">
        <f>'[1] культура'!L38</f>
        <v>7165.5280000000002</v>
      </c>
      <c r="E39" s="13">
        <f t="shared" si="0"/>
        <v>2163.9894559999998</v>
      </c>
      <c r="F39" s="13">
        <v>0</v>
      </c>
      <c r="G39" s="13">
        <f>'[1]Ком. услуги'!S41</f>
        <v>0</v>
      </c>
      <c r="H39" s="13">
        <f t="shared" si="8"/>
        <v>0</v>
      </c>
      <c r="I39" s="13">
        <f>'[1]Налоги расчет'!K39</f>
        <v>0</v>
      </c>
      <c r="J39" s="13">
        <f>'[1]Налоги расчет'!F39</f>
        <v>0</v>
      </c>
      <c r="K39" s="13">
        <f>'[1]Налоги расчет'!AI39</f>
        <v>0</v>
      </c>
      <c r="L39" s="13">
        <v>0</v>
      </c>
      <c r="M39" s="13">
        <f t="shared" si="6"/>
        <v>9329.5174559999996</v>
      </c>
      <c r="N39" s="13">
        <f>'[1]МатЗатр '!M36</f>
        <v>3626.9</v>
      </c>
      <c r="O39" s="13">
        <f t="shared" si="7"/>
        <v>12956.417455999999</v>
      </c>
    </row>
    <row r="40" spans="1:15" ht="56.25">
      <c r="A40" s="16">
        <v>23</v>
      </c>
      <c r="B40" s="17" t="s">
        <v>62</v>
      </c>
      <c r="C40" s="148"/>
      <c r="D40" s="13">
        <f>'[1] культура'!L39</f>
        <v>5914.0838399999993</v>
      </c>
      <c r="E40" s="13">
        <f t="shared" si="0"/>
        <v>1786.0533196799997</v>
      </c>
      <c r="F40" s="13">
        <v>0</v>
      </c>
      <c r="G40" s="13">
        <f>'[1]Ком. услуги'!S42</f>
        <v>0</v>
      </c>
      <c r="H40" s="13">
        <f>I40+J40+L40+K40</f>
        <v>0</v>
      </c>
      <c r="I40" s="13">
        <f>'[1]Налоги расчет'!K40</f>
        <v>0</v>
      </c>
      <c r="J40" s="13">
        <f>'[1]Налоги расчет'!F40</f>
        <v>0</v>
      </c>
      <c r="K40" s="13">
        <f>'[1]Налоги расчет'!AI40</f>
        <v>0</v>
      </c>
      <c r="L40" s="13">
        <v>0</v>
      </c>
      <c r="M40" s="13">
        <f t="shared" si="6"/>
        <v>7700.1371596799991</v>
      </c>
      <c r="N40" s="13">
        <f>'[1]МатЗатр '!M37</f>
        <v>3449.75</v>
      </c>
      <c r="O40" s="13">
        <f t="shared" si="7"/>
        <v>11149.887159679998</v>
      </c>
    </row>
    <row r="41" spans="1:15" s="24" customFormat="1" ht="43.5" customHeight="1">
      <c r="A41" s="19"/>
      <c r="B41" s="26" t="s">
        <v>63</v>
      </c>
      <c r="C41" s="21" t="s">
        <v>64</v>
      </c>
      <c r="D41" s="27">
        <f t="shared" ref="D41:O41" si="9">SUM(D18:D40)</f>
        <v>494767.37577302614</v>
      </c>
      <c r="E41" s="27">
        <f t="shared" si="9"/>
        <v>149419.74748345389</v>
      </c>
      <c r="F41" s="23">
        <f t="shared" si="9"/>
        <v>0</v>
      </c>
      <c r="G41" s="23">
        <f t="shared" si="9"/>
        <v>11346.103999999999</v>
      </c>
      <c r="H41" s="23">
        <f t="shared" si="9"/>
        <v>13693.709893009998</v>
      </c>
      <c r="I41" s="23">
        <f t="shared" si="9"/>
        <v>2316.2869830099989</v>
      </c>
      <c r="J41" s="23">
        <f t="shared" si="9"/>
        <v>11193.12491</v>
      </c>
      <c r="K41" s="23">
        <f t="shared" si="9"/>
        <v>184.298</v>
      </c>
      <c r="L41" s="23">
        <f t="shared" si="9"/>
        <v>0</v>
      </c>
      <c r="M41" s="23">
        <f t="shared" si="9"/>
        <v>669226.93714949023</v>
      </c>
      <c r="N41" s="23">
        <f t="shared" si="9"/>
        <v>271249.83000000007</v>
      </c>
      <c r="O41" s="23">
        <f t="shared" si="9"/>
        <v>940476.76714949019</v>
      </c>
    </row>
    <row r="42" spans="1:15" s="18" customFormat="1" ht="42" customHeight="1">
      <c r="A42" s="28"/>
      <c r="B42" s="29" t="s">
        <v>65</v>
      </c>
      <c r="C42" s="30" t="s">
        <v>66</v>
      </c>
      <c r="D42" s="13">
        <v>0</v>
      </c>
      <c r="E42" s="13">
        <v>0</v>
      </c>
      <c r="F42" s="13">
        <v>0</v>
      </c>
      <c r="G42" s="13">
        <f>'[1]Ком. услуги'!S44</f>
        <v>0</v>
      </c>
      <c r="H42" s="13"/>
      <c r="I42" s="13"/>
      <c r="J42" s="14"/>
      <c r="K42" s="14"/>
      <c r="L42" s="13"/>
      <c r="M42" s="13"/>
      <c r="N42" s="13">
        <v>10913.7</v>
      </c>
      <c r="O42" s="13">
        <f t="shared" ref="O42:O47" si="10">M42+N42</f>
        <v>10913.7</v>
      </c>
    </row>
    <row r="43" spans="1:15" ht="46.5" customHeight="1">
      <c r="A43" s="28"/>
      <c r="B43" s="29" t="s">
        <v>67</v>
      </c>
      <c r="C43" s="30" t="s">
        <v>68</v>
      </c>
      <c r="D43" s="13">
        <v>0</v>
      </c>
      <c r="E43" s="13">
        <v>0</v>
      </c>
      <c r="F43" s="13">
        <v>0</v>
      </c>
      <c r="G43" s="13">
        <f>'[1]Ком. услуги'!S45</f>
        <v>0</v>
      </c>
      <c r="H43" s="13"/>
      <c r="I43" s="13"/>
      <c r="J43" s="14"/>
      <c r="K43" s="14"/>
      <c r="L43" s="13"/>
      <c r="M43" s="13"/>
      <c r="N43" s="31">
        <f>'[1]МатЗатр '!M40</f>
        <v>23116.799999999999</v>
      </c>
      <c r="O43" s="13">
        <f t="shared" si="10"/>
        <v>23116.799999999999</v>
      </c>
    </row>
    <row r="44" spans="1:15" ht="65.25" customHeight="1">
      <c r="A44" s="28"/>
      <c r="B44" s="32" t="s">
        <v>69</v>
      </c>
      <c r="C44" s="30"/>
      <c r="D44" s="13"/>
      <c r="E44" s="13"/>
      <c r="F44" s="13"/>
      <c r="G44" s="13"/>
      <c r="H44" s="13"/>
      <c r="I44" s="13"/>
      <c r="J44" s="14"/>
      <c r="K44" s="14"/>
      <c r="L44" s="13"/>
      <c r="M44" s="13">
        <f>[1]Субсидии!Z6</f>
        <v>169740.99999999997</v>
      </c>
      <c r="N44" s="13"/>
      <c r="O44" s="13">
        <f t="shared" si="10"/>
        <v>169740.99999999997</v>
      </c>
    </row>
    <row r="45" spans="1:15" ht="89.25" customHeight="1">
      <c r="A45" s="28"/>
      <c r="B45" s="33" t="s">
        <v>70</v>
      </c>
      <c r="C45" s="30"/>
      <c r="D45" s="13"/>
      <c r="E45" s="13"/>
      <c r="F45" s="13"/>
      <c r="G45" s="13"/>
      <c r="H45" s="13"/>
      <c r="I45" s="13"/>
      <c r="J45" s="14"/>
      <c r="K45" s="14"/>
      <c r="L45" s="13"/>
      <c r="M45" s="13">
        <f>[1]Субсидии!W16</f>
        <v>28579.3</v>
      </c>
      <c r="N45" s="13"/>
      <c r="O45" s="13">
        <f t="shared" si="10"/>
        <v>28579.3</v>
      </c>
    </row>
    <row r="46" spans="1:15" ht="84.75" customHeight="1">
      <c r="A46" s="28"/>
      <c r="B46" s="33" t="s">
        <v>71</v>
      </c>
      <c r="C46" s="30"/>
      <c r="D46" s="13"/>
      <c r="E46" s="13"/>
      <c r="F46" s="13"/>
      <c r="G46" s="13"/>
      <c r="H46" s="13"/>
      <c r="I46" s="13"/>
      <c r="J46" s="14"/>
      <c r="K46" s="14"/>
      <c r="L46" s="13"/>
      <c r="M46" s="13">
        <f>[1]Субсидии!W17</f>
        <v>23226.7</v>
      </c>
      <c r="N46" s="13"/>
      <c r="O46" s="13">
        <f t="shared" si="10"/>
        <v>23226.7</v>
      </c>
    </row>
    <row r="47" spans="1:15" ht="61.5" customHeight="1">
      <c r="A47" s="28"/>
      <c r="B47" s="33" t="s">
        <v>72</v>
      </c>
      <c r="C47" s="30"/>
      <c r="D47" s="13"/>
      <c r="E47" s="13"/>
      <c r="F47" s="13"/>
      <c r="G47" s="13"/>
      <c r="H47" s="13"/>
      <c r="I47" s="13"/>
      <c r="J47" s="14"/>
      <c r="K47" s="14"/>
      <c r="L47" s="13"/>
      <c r="M47" s="13">
        <f>[1]Субсидии!W18</f>
        <v>1979.3</v>
      </c>
      <c r="N47" s="13"/>
      <c r="O47" s="13">
        <f t="shared" si="10"/>
        <v>1979.3</v>
      </c>
    </row>
    <row r="48" spans="1:15" s="15" customFormat="1" ht="43.5" customHeight="1">
      <c r="A48" s="19"/>
      <c r="B48" s="34" t="s">
        <v>73</v>
      </c>
      <c r="C48" s="35" t="s">
        <v>74</v>
      </c>
      <c r="D48" s="36">
        <f t="shared" ref="D48:L48" si="11">D43+D42+D41+D17+D13+D7</f>
        <v>720291.98506109975</v>
      </c>
      <c r="E48" s="36">
        <f t="shared" si="11"/>
        <v>217528.17948845215</v>
      </c>
      <c r="F48" s="36">
        <f t="shared" si="11"/>
        <v>650.36</v>
      </c>
      <c r="G48" s="36">
        <f t="shared" si="11"/>
        <v>20547.6728</v>
      </c>
      <c r="H48" s="36">
        <f t="shared" si="11"/>
        <v>16440.341316739999</v>
      </c>
      <c r="I48" s="36">
        <f t="shared" si="11"/>
        <v>2932.5100577399985</v>
      </c>
      <c r="J48" s="36">
        <f t="shared" si="11"/>
        <v>13307.421259000002</v>
      </c>
      <c r="K48" s="36"/>
      <c r="L48" s="36">
        <f t="shared" si="11"/>
        <v>0</v>
      </c>
      <c r="M48" s="37">
        <f>M43+M42+M41+M17+M13+M7+M44+M45</f>
        <v>1173778.8386662921</v>
      </c>
      <c r="N48" s="37">
        <f>N43+N42+N41+N17+N13+N7+N44+N45</f>
        <v>528655.23200000008</v>
      </c>
      <c r="O48" s="37">
        <f>O43+O42+O41+O17+O13+O7+O44+O45</f>
        <v>1702434.0706662922</v>
      </c>
    </row>
    <row r="49" spans="1:15">
      <c r="A49" s="38"/>
      <c r="B49" s="39"/>
      <c r="C49" s="40"/>
      <c r="D49" s="41"/>
      <c r="E49" s="41"/>
      <c r="F49" s="41"/>
      <c r="G49" s="41"/>
      <c r="H49" s="41"/>
      <c r="I49" s="41"/>
      <c r="J49" s="41"/>
      <c r="K49" s="41"/>
      <c r="L49" s="41"/>
      <c r="M49" s="42"/>
      <c r="N49" s="42"/>
      <c r="O49" s="42"/>
    </row>
    <row r="50" spans="1:15" ht="23.25">
      <c r="A50" s="38"/>
      <c r="B50" s="149" t="s">
        <v>75</v>
      </c>
      <c r="C50" s="149"/>
      <c r="D50" s="149"/>
      <c r="E50" s="149"/>
      <c r="F50" s="43"/>
      <c r="G50" s="43"/>
      <c r="H50" s="44"/>
      <c r="I50" s="44"/>
      <c r="J50" s="45"/>
      <c r="K50" s="45"/>
      <c r="L50" s="144" t="s">
        <v>76</v>
      </c>
      <c r="M50" s="144"/>
      <c r="N50" s="144"/>
      <c r="O50" s="144"/>
    </row>
    <row r="51" spans="1:15">
      <c r="A51" s="38"/>
      <c r="B51" s="39"/>
      <c r="C51" s="40"/>
      <c r="D51" s="41"/>
      <c r="E51" s="41"/>
      <c r="F51" s="41"/>
      <c r="G51" s="41"/>
      <c r="H51" s="41"/>
      <c r="I51" s="41"/>
      <c r="J51" s="41"/>
      <c r="K51" s="41"/>
      <c r="L51" s="41"/>
      <c r="M51" s="42"/>
      <c r="N51" s="42"/>
      <c r="O51" s="42"/>
    </row>
    <row r="52" spans="1:15">
      <c r="A52" s="38"/>
      <c r="B52" s="39"/>
      <c r="C52" s="40"/>
      <c r="D52" s="41"/>
      <c r="E52" s="41"/>
      <c r="F52" s="41"/>
      <c r="G52" s="41"/>
      <c r="H52" s="41"/>
      <c r="I52" s="41"/>
      <c r="J52" s="41"/>
      <c r="K52" s="41"/>
      <c r="L52" s="41"/>
      <c r="M52" s="42"/>
      <c r="N52" s="42"/>
      <c r="O52" s="42"/>
    </row>
    <row r="53" spans="1:15" ht="32.25" customHeight="1">
      <c r="B53" s="149" t="s">
        <v>77</v>
      </c>
      <c r="C53" s="149"/>
      <c r="D53" s="149"/>
      <c r="E53" s="149"/>
      <c r="F53" s="43"/>
      <c r="G53" s="43"/>
      <c r="H53" s="44"/>
      <c r="I53" s="44"/>
      <c r="J53" s="45"/>
      <c r="K53" s="45"/>
      <c r="L53" s="144" t="s">
        <v>78</v>
      </c>
      <c r="M53" s="144"/>
      <c r="N53" s="144"/>
      <c r="O53" s="144"/>
    </row>
    <row r="54" spans="1:15">
      <c r="D54" s="49"/>
      <c r="E54" s="49"/>
      <c r="F54" s="49"/>
      <c r="G54" s="49"/>
      <c r="H54" s="50"/>
      <c r="I54" s="49"/>
      <c r="J54" s="49"/>
      <c r="K54" s="49"/>
      <c r="L54" s="49"/>
      <c r="M54" s="51"/>
      <c r="N54" s="52"/>
      <c r="O54" s="51"/>
    </row>
    <row r="55" spans="1:15">
      <c r="D55" s="53"/>
      <c r="E55" s="53"/>
      <c r="F55" s="53"/>
      <c r="G55" s="53"/>
      <c r="H55" s="53"/>
      <c r="I55" s="53"/>
      <c r="J55" s="53"/>
      <c r="K55" s="53"/>
      <c r="L55" s="53"/>
      <c r="M55" s="54"/>
      <c r="N55" s="54"/>
      <c r="O55" s="54"/>
    </row>
    <row r="56" spans="1:15" ht="31.5" customHeight="1">
      <c r="D56" s="150"/>
      <c r="E56" s="150"/>
      <c r="F56" s="150"/>
      <c r="G56" s="150"/>
      <c r="H56" s="55"/>
      <c r="I56" s="55"/>
      <c r="J56" s="55"/>
      <c r="K56" s="55"/>
      <c r="L56" s="55"/>
      <c r="M56" s="51"/>
      <c r="N56" s="51"/>
      <c r="O56" s="51"/>
    </row>
    <row r="57" spans="1:15" ht="31.5" customHeight="1">
      <c r="D57" s="150"/>
      <c r="E57" s="150"/>
      <c r="F57" s="150"/>
      <c r="G57" s="150"/>
      <c r="H57" s="55"/>
      <c r="I57" s="55"/>
      <c r="J57" s="55"/>
      <c r="K57" s="55"/>
      <c r="L57" s="55"/>
      <c r="M57" s="51"/>
      <c r="N57" s="51"/>
      <c r="O57" s="51"/>
    </row>
    <row r="58" spans="1:15">
      <c r="D58" s="147"/>
      <c r="E58" s="147"/>
      <c r="F58" s="147"/>
      <c r="G58" s="147"/>
      <c r="H58" s="53"/>
      <c r="I58" s="53"/>
      <c r="J58" s="53"/>
      <c r="K58" s="53"/>
      <c r="L58" s="53"/>
      <c r="M58" s="54"/>
      <c r="N58" s="54"/>
      <c r="O58" s="54"/>
    </row>
    <row r="59" spans="1:15" ht="47.25" customHeight="1">
      <c r="D59" s="49"/>
      <c r="E59" s="56"/>
      <c r="F59" s="56"/>
      <c r="G59" s="56"/>
      <c r="H59" s="56"/>
      <c r="I59" s="56"/>
      <c r="J59" s="56"/>
      <c r="K59" s="56"/>
      <c r="L59" s="56"/>
      <c r="M59" s="57"/>
      <c r="N59" s="57"/>
      <c r="O59" s="57"/>
    </row>
    <row r="60" spans="1:15">
      <c r="D60" s="53"/>
      <c r="E60" s="53"/>
      <c r="F60" s="53"/>
      <c r="G60" s="53"/>
      <c r="H60" s="53"/>
      <c r="I60" s="53"/>
      <c r="J60" s="53"/>
      <c r="K60" s="53"/>
      <c r="L60" s="53"/>
      <c r="M60" s="54"/>
      <c r="N60" s="54"/>
      <c r="O60" s="54"/>
    </row>
    <row r="61" spans="1:15">
      <c r="D61" s="50"/>
      <c r="E61" s="50"/>
      <c r="F61" s="50"/>
      <c r="G61" s="53"/>
      <c r="H61" s="50"/>
      <c r="I61" s="53"/>
      <c r="J61" s="53"/>
      <c r="K61" s="53"/>
      <c r="L61" s="50"/>
      <c r="M61" s="54"/>
      <c r="N61" s="51"/>
      <c r="O61" s="54"/>
    </row>
    <row r="62" spans="1:15">
      <c r="D62" s="50"/>
      <c r="E62" s="50"/>
      <c r="F62" s="50"/>
      <c r="G62" s="53"/>
      <c r="H62" s="50"/>
      <c r="I62" s="53"/>
      <c r="J62" s="53"/>
      <c r="K62" s="53"/>
      <c r="L62" s="53"/>
      <c r="M62" s="54"/>
      <c r="N62" s="51"/>
      <c r="O62" s="54"/>
    </row>
    <row r="63" spans="1:15">
      <c r="D63" s="49"/>
      <c r="E63" s="49"/>
      <c r="F63" s="49"/>
      <c r="G63" s="53"/>
      <c r="H63" s="49"/>
      <c r="I63" s="53"/>
      <c r="J63" s="53"/>
      <c r="K63" s="53"/>
      <c r="L63" s="53"/>
      <c r="M63" s="54"/>
      <c r="N63" s="52"/>
      <c r="O63" s="54"/>
    </row>
    <row r="64" spans="1:15">
      <c r="D64" s="50"/>
      <c r="E64" s="50"/>
      <c r="F64" s="53"/>
      <c r="G64" s="53"/>
      <c r="H64" s="53"/>
      <c r="I64" s="53"/>
      <c r="J64" s="53"/>
      <c r="K64" s="53"/>
      <c r="L64" s="53"/>
      <c r="M64" s="54"/>
      <c r="N64" s="54"/>
      <c r="O64" s="54"/>
    </row>
    <row r="65" spans="4:15">
      <c r="D65" s="50"/>
      <c r="E65" s="50"/>
      <c r="F65" s="53"/>
      <c r="G65" s="53"/>
      <c r="H65" s="53"/>
      <c r="I65" s="53"/>
      <c r="J65" s="53"/>
      <c r="K65" s="53"/>
      <c r="L65" s="53"/>
      <c r="M65" s="54"/>
      <c r="N65" s="54"/>
      <c r="O65" s="54"/>
    </row>
    <row r="66" spans="4:15">
      <c r="D66" s="50"/>
      <c r="E66" s="50"/>
      <c r="F66" s="53"/>
      <c r="G66" s="53"/>
      <c r="H66" s="53"/>
      <c r="I66" s="53"/>
      <c r="J66" s="53"/>
      <c r="K66" s="53"/>
      <c r="L66" s="53"/>
      <c r="M66" s="54"/>
      <c r="N66" s="54"/>
      <c r="O66" s="54"/>
    </row>
    <row r="67" spans="4:15">
      <c r="D67" s="49"/>
      <c r="E67" s="49"/>
      <c r="F67" s="56"/>
      <c r="G67" s="53"/>
      <c r="H67" s="56"/>
      <c r="I67" s="53"/>
      <c r="J67" s="53"/>
      <c r="K67" s="53"/>
      <c r="L67" s="53"/>
      <c r="M67" s="54"/>
      <c r="N67" s="57"/>
      <c r="O67" s="54"/>
    </row>
    <row r="68" spans="4:15">
      <c r="D68" s="53"/>
      <c r="E68" s="53"/>
      <c r="F68" s="53"/>
      <c r="G68" s="53"/>
      <c r="H68" s="53"/>
      <c r="I68" s="53"/>
      <c r="J68" s="53"/>
      <c r="K68" s="53"/>
      <c r="L68" s="53"/>
      <c r="M68" s="54"/>
      <c r="N68" s="54"/>
      <c r="O68" s="54"/>
    </row>
    <row r="69" spans="4:15">
      <c r="D69" s="50"/>
      <c r="E69" s="50"/>
      <c r="F69" s="50"/>
      <c r="G69" s="53"/>
      <c r="H69" s="50"/>
      <c r="I69" s="53"/>
      <c r="J69" s="53"/>
      <c r="K69" s="53"/>
      <c r="L69" s="49"/>
      <c r="M69" s="54"/>
      <c r="N69" s="51"/>
      <c r="O69" s="54"/>
    </row>
    <row r="70" spans="4:15">
      <c r="D70" s="50"/>
      <c r="E70" s="50"/>
      <c r="F70" s="50"/>
      <c r="G70" s="53"/>
      <c r="H70" s="50"/>
      <c r="I70" s="53"/>
      <c r="J70" s="53"/>
      <c r="K70" s="53"/>
      <c r="L70" s="53"/>
      <c r="M70" s="54"/>
      <c r="N70" s="51"/>
      <c r="O70" s="54"/>
    </row>
    <row r="71" spans="4:15">
      <c r="D71" s="49"/>
      <c r="E71" s="49"/>
      <c r="F71" s="49"/>
      <c r="G71" s="53"/>
      <c r="H71" s="49"/>
      <c r="I71" s="53"/>
      <c r="J71" s="53"/>
      <c r="K71" s="53"/>
      <c r="L71" s="53"/>
      <c r="M71" s="54"/>
      <c r="N71" s="52"/>
      <c r="O71" s="54"/>
    </row>
    <row r="72" spans="4:15">
      <c r="D72" s="53"/>
      <c r="E72" s="53"/>
      <c r="F72" s="53"/>
      <c r="G72" s="53"/>
      <c r="H72" s="53"/>
      <c r="I72" s="53"/>
      <c r="J72" s="53"/>
      <c r="K72" s="53"/>
      <c r="L72" s="53"/>
      <c r="M72" s="54"/>
      <c r="N72" s="54"/>
      <c r="O72" s="54"/>
    </row>
    <row r="73" spans="4:15">
      <c r="D73" s="53"/>
      <c r="E73" s="53"/>
      <c r="F73" s="53"/>
      <c r="G73" s="53"/>
      <c r="H73" s="53"/>
      <c r="I73" s="53"/>
      <c r="J73" s="53"/>
      <c r="K73" s="53"/>
      <c r="L73" s="53"/>
      <c r="M73" s="54"/>
      <c r="N73" s="54"/>
      <c r="O73" s="54"/>
    </row>
    <row r="74" spans="4:15">
      <c r="D74" s="53"/>
      <c r="E74" s="53"/>
      <c r="F74" s="53"/>
      <c r="G74" s="53"/>
      <c r="H74" s="53"/>
      <c r="I74" s="53"/>
      <c r="J74" s="53"/>
      <c r="K74" s="53"/>
      <c r="L74" s="53"/>
      <c r="M74" s="54"/>
      <c r="N74" s="54"/>
      <c r="O74" s="54"/>
    </row>
  </sheetData>
  <mergeCells count="24">
    <mergeCell ref="D56:G56"/>
    <mergeCell ref="C8:C12"/>
    <mergeCell ref="D57:G57"/>
    <mergeCell ref="C14:C16"/>
    <mergeCell ref="H3:H4"/>
    <mergeCell ref="L50:O50"/>
    <mergeCell ref="O3:O5"/>
    <mergeCell ref="I5:J5"/>
    <mergeCell ref="D58:G58"/>
    <mergeCell ref="C18:C40"/>
    <mergeCell ref="B50:E50"/>
    <mergeCell ref="I3:L3"/>
    <mergeCell ref="B53:E53"/>
    <mergeCell ref="L53:O53"/>
    <mergeCell ref="A2:O2"/>
    <mergeCell ref="A3:A5"/>
    <mergeCell ref="B3:B5"/>
    <mergeCell ref="C3:C5"/>
    <mergeCell ref="D3:D4"/>
    <mergeCell ref="E3:E5"/>
    <mergeCell ref="F3:F4"/>
    <mergeCell ref="N3:N5"/>
    <mergeCell ref="M3:M5"/>
    <mergeCell ref="G3:G4"/>
  </mergeCells>
  <phoneticPr fontId="26" type="noConversion"/>
  <printOptions horizontalCentered="1"/>
  <pageMargins left="0" right="0" top="0.55118110236220474" bottom="0.55118110236220474" header="0.31496062992125984" footer="0.31496062992125984"/>
  <pageSetup paperSize="9" scale="53" orientation="landscape" r:id="rId1"/>
  <rowBreaks count="1" manualBreakCount="1">
    <brk id="2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70"/>
  <sheetViews>
    <sheetView view="pageBreakPreview" zoomScaleSheetLayoutView="100" workbookViewId="0">
      <selection activeCell="A57" sqref="A57:IV72"/>
    </sheetView>
  </sheetViews>
  <sheetFormatPr defaultColWidth="30" defaultRowHeight="18.75"/>
  <cols>
    <col min="1" max="1" width="5.5703125" style="59" customWidth="1"/>
    <col min="2" max="2" width="44.28515625" style="59" customWidth="1"/>
    <col min="3" max="3" width="30" style="91" customWidth="1"/>
    <col min="4" max="6" width="30" style="59" customWidth="1"/>
    <col min="7" max="7" width="30" style="60" customWidth="1"/>
    <col min="8" max="16384" width="30" style="59"/>
  </cols>
  <sheetData>
    <row r="1" spans="1:7">
      <c r="A1" s="153" t="s">
        <v>79</v>
      </c>
      <c r="B1" s="153"/>
      <c r="C1" s="153"/>
      <c r="D1" s="153"/>
    </row>
    <row r="2" spans="1:7">
      <c r="A2" s="153" t="s">
        <v>80</v>
      </c>
      <c r="B2" s="153"/>
      <c r="C2" s="153"/>
      <c r="D2" s="153"/>
    </row>
    <row r="3" spans="1:7">
      <c r="A3" s="154"/>
      <c r="B3" s="154"/>
      <c r="C3" s="154"/>
    </row>
    <row r="4" spans="1:7" ht="37.5">
      <c r="A4" s="61" t="s">
        <v>1</v>
      </c>
      <c r="B4" s="61" t="s">
        <v>81</v>
      </c>
      <c r="C4" s="62" t="s">
        <v>82</v>
      </c>
      <c r="D4" s="63" t="s">
        <v>83</v>
      </c>
    </row>
    <row r="5" spans="1:7">
      <c r="A5" s="155" t="s">
        <v>84</v>
      </c>
      <c r="B5" s="155"/>
      <c r="C5" s="64">
        <f>C6+C7+C8+C9+C10+C11+C12+C13+C14+C15</f>
        <v>16150</v>
      </c>
      <c r="D5" s="65"/>
    </row>
    <row r="6" spans="1:7" ht="20.25">
      <c r="A6" s="66">
        <v>1</v>
      </c>
      <c r="B6" s="67" t="s">
        <v>85</v>
      </c>
      <c r="C6" s="68">
        <v>1500</v>
      </c>
      <c r="D6" s="156" t="s">
        <v>60</v>
      </c>
      <c r="G6" s="69"/>
    </row>
    <row r="7" spans="1:7">
      <c r="A7" s="66">
        <v>2</v>
      </c>
      <c r="B7" s="67" t="s">
        <v>86</v>
      </c>
      <c r="C7" s="68">
        <v>2000</v>
      </c>
      <c r="D7" s="156"/>
    </row>
    <row r="8" spans="1:7" ht="81" customHeight="1">
      <c r="A8" s="66">
        <v>3</v>
      </c>
      <c r="B8" s="67" t="s">
        <v>87</v>
      </c>
      <c r="C8" s="68">
        <v>550</v>
      </c>
      <c r="D8" s="70" t="s">
        <v>39</v>
      </c>
    </row>
    <row r="9" spans="1:7">
      <c r="A9" s="66">
        <v>4</v>
      </c>
      <c r="B9" s="67" t="s">
        <v>88</v>
      </c>
      <c r="C9" s="68">
        <v>1000</v>
      </c>
      <c r="D9" s="151" t="s">
        <v>60</v>
      </c>
    </row>
    <row r="10" spans="1:7" ht="56.25">
      <c r="A10" s="66">
        <v>5</v>
      </c>
      <c r="B10" s="71" t="s">
        <v>89</v>
      </c>
      <c r="C10" s="68">
        <v>3000</v>
      </c>
      <c r="D10" s="152"/>
    </row>
    <row r="11" spans="1:7" ht="73.5" customHeight="1">
      <c r="A11" s="66">
        <v>6</v>
      </c>
      <c r="B11" s="67" t="s">
        <v>90</v>
      </c>
      <c r="C11" s="68">
        <v>1200</v>
      </c>
      <c r="D11" s="70" t="s">
        <v>39</v>
      </c>
      <c r="F11" s="72"/>
    </row>
    <row r="12" spans="1:7" ht="76.5" customHeight="1">
      <c r="A12" s="66">
        <v>7</v>
      </c>
      <c r="B12" s="67" t="s">
        <v>91</v>
      </c>
      <c r="C12" s="68">
        <v>500</v>
      </c>
      <c r="D12" s="70" t="s">
        <v>39</v>
      </c>
      <c r="F12" s="72"/>
    </row>
    <row r="13" spans="1:7" ht="56.25">
      <c r="A13" s="66">
        <v>8</v>
      </c>
      <c r="B13" s="67" t="s">
        <v>92</v>
      </c>
      <c r="C13" s="68">
        <v>3000</v>
      </c>
      <c r="D13" s="151" t="s">
        <v>60</v>
      </c>
    </row>
    <row r="14" spans="1:7">
      <c r="A14" s="66">
        <v>9</v>
      </c>
      <c r="B14" s="67" t="s">
        <v>93</v>
      </c>
      <c r="C14" s="68">
        <v>2500</v>
      </c>
      <c r="D14" s="152"/>
    </row>
    <row r="15" spans="1:7" ht="56.25">
      <c r="A15" s="66">
        <v>10</v>
      </c>
      <c r="B15" s="71" t="s">
        <v>94</v>
      </c>
      <c r="C15" s="68">
        <v>900</v>
      </c>
      <c r="D15" s="73" t="s">
        <v>23</v>
      </c>
    </row>
    <row r="16" spans="1:7">
      <c r="A16" s="158" t="s">
        <v>95</v>
      </c>
      <c r="B16" s="158"/>
      <c r="C16" s="74">
        <f>C17+C18+C19+C20+C21+C22+C23+C24+C25+C26+C27+C28+C29+C30+C31+C32+C33+C34+C35+C36+C37+C38+C39+C40+C41+C42+C43+C44+C45+C46+C47</f>
        <v>57710.5</v>
      </c>
      <c r="D16" s="74"/>
    </row>
    <row r="17" spans="1:4" ht="76.5" customHeight="1">
      <c r="A17" s="75">
        <v>11</v>
      </c>
      <c r="B17" s="76" t="s">
        <v>96</v>
      </c>
      <c r="C17" s="77">
        <v>4865</v>
      </c>
      <c r="D17" s="70" t="s">
        <v>39</v>
      </c>
    </row>
    <row r="18" spans="1:4" ht="93.75">
      <c r="A18" s="75">
        <v>12</v>
      </c>
      <c r="B18" s="76" t="s">
        <v>97</v>
      </c>
      <c r="C18" s="77">
        <v>8000</v>
      </c>
      <c r="D18" s="70" t="s">
        <v>98</v>
      </c>
    </row>
    <row r="19" spans="1:4" ht="56.25">
      <c r="A19" s="75">
        <v>13</v>
      </c>
      <c r="B19" s="76" t="s">
        <v>99</v>
      </c>
      <c r="C19" s="77">
        <v>8340</v>
      </c>
      <c r="D19" s="70" t="s">
        <v>100</v>
      </c>
    </row>
    <row r="20" spans="1:4" ht="56.25">
      <c r="A20" s="75">
        <v>14</v>
      </c>
      <c r="B20" s="76" t="s">
        <v>101</v>
      </c>
      <c r="C20" s="77">
        <v>5940.1</v>
      </c>
      <c r="D20" s="70" t="s">
        <v>60</v>
      </c>
    </row>
    <row r="21" spans="1:4" ht="75">
      <c r="A21" s="66">
        <v>15</v>
      </c>
      <c r="B21" s="67" t="s">
        <v>102</v>
      </c>
      <c r="C21" s="68">
        <v>5500</v>
      </c>
      <c r="D21" s="70" t="s">
        <v>23</v>
      </c>
    </row>
    <row r="22" spans="1:4" ht="56.25">
      <c r="A22" s="159">
        <v>16</v>
      </c>
      <c r="B22" s="67" t="s">
        <v>103</v>
      </c>
      <c r="C22" s="68">
        <v>1500</v>
      </c>
      <c r="D22" s="162" t="s">
        <v>52</v>
      </c>
    </row>
    <row r="23" spans="1:4" ht="75">
      <c r="A23" s="160"/>
      <c r="B23" s="67" t="s">
        <v>104</v>
      </c>
      <c r="C23" s="68">
        <v>1250</v>
      </c>
      <c r="D23" s="163"/>
    </row>
    <row r="24" spans="1:4" ht="56.25">
      <c r="A24" s="160"/>
      <c r="B24" s="78" t="s">
        <v>105</v>
      </c>
      <c r="C24" s="68">
        <v>850</v>
      </c>
      <c r="D24" s="163"/>
    </row>
    <row r="25" spans="1:4" ht="75">
      <c r="A25" s="160"/>
      <c r="B25" s="78" t="s">
        <v>106</v>
      </c>
      <c r="C25" s="68">
        <v>980</v>
      </c>
      <c r="D25" s="163"/>
    </row>
    <row r="26" spans="1:4" ht="56.25">
      <c r="A26" s="160"/>
      <c r="B26" s="78" t="s">
        <v>107</v>
      </c>
      <c r="C26" s="68">
        <v>150</v>
      </c>
      <c r="D26" s="163"/>
    </row>
    <row r="27" spans="1:4" ht="37.5">
      <c r="A27" s="160"/>
      <c r="B27" s="78" t="s">
        <v>108</v>
      </c>
      <c r="C27" s="68">
        <v>150</v>
      </c>
      <c r="D27" s="163"/>
    </row>
    <row r="28" spans="1:4" ht="37.5">
      <c r="A28" s="160"/>
      <c r="B28" s="78" t="s">
        <v>109</v>
      </c>
      <c r="C28" s="68">
        <v>100</v>
      </c>
      <c r="D28" s="163"/>
    </row>
    <row r="29" spans="1:4" ht="37.5">
      <c r="A29" s="161"/>
      <c r="B29" s="78" t="s">
        <v>110</v>
      </c>
      <c r="C29" s="68">
        <v>160</v>
      </c>
      <c r="D29" s="164"/>
    </row>
    <row r="30" spans="1:4" ht="37.5">
      <c r="A30" s="159">
        <v>17</v>
      </c>
      <c r="B30" s="78" t="s">
        <v>111</v>
      </c>
      <c r="C30" s="68">
        <v>1045.4000000000001</v>
      </c>
      <c r="D30" s="151" t="s">
        <v>112</v>
      </c>
    </row>
    <row r="31" spans="1:4" ht="56.25">
      <c r="A31" s="161"/>
      <c r="B31" s="78" t="s">
        <v>113</v>
      </c>
      <c r="C31" s="68">
        <v>2000</v>
      </c>
      <c r="D31" s="152"/>
    </row>
    <row r="32" spans="1:4" ht="81" customHeight="1">
      <c r="A32" s="66">
        <v>18</v>
      </c>
      <c r="B32" s="71" t="s">
        <v>114</v>
      </c>
      <c r="C32" s="68">
        <v>2450</v>
      </c>
      <c r="D32" s="70" t="s">
        <v>39</v>
      </c>
    </row>
    <row r="33" spans="1:6" ht="93.75" customHeight="1">
      <c r="A33" s="66">
        <v>19</v>
      </c>
      <c r="B33" s="67" t="s">
        <v>115</v>
      </c>
      <c r="C33" s="68">
        <v>6880</v>
      </c>
      <c r="D33" s="79" t="s">
        <v>116</v>
      </c>
    </row>
    <row r="34" spans="1:6" ht="75" customHeight="1">
      <c r="A34" s="66">
        <v>20</v>
      </c>
      <c r="B34" s="67" t="s">
        <v>117</v>
      </c>
      <c r="C34" s="68"/>
      <c r="D34" s="17" t="s">
        <v>33</v>
      </c>
    </row>
    <row r="35" spans="1:6" ht="56.25">
      <c r="A35" s="159">
        <v>21</v>
      </c>
      <c r="B35" s="80" t="s">
        <v>118</v>
      </c>
      <c r="C35" s="68">
        <v>500</v>
      </c>
      <c r="D35" s="165" t="s">
        <v>23</v>
      </c>
    </row>
    <row r="36" spans="1:6" ht="56.25">
      <c r="A36" s="160"/>
      <c r="B36" s="80" t="s">
        <v>119</v>
      </c>
      <c r="C36" s="68">
        <v>300</v>
      </c>
      <c r="D36" s="166"/>
    </row>
    <row r="37" spans="1:6" ht="56.25">
      <c r="A37" s="160"/>
      <c r="B37" s="80" t="s">
        <v>120</v>
      </c>
      <c r="C37" s="68">
        <v>550</v>
      </c>
      <c r="D37" s="166"/>
    </row>
    <row r="38" spans="1:6" ht="56.25">
      <c r="A38" s="160"/>
      <c r="B38" s="80" t="s">
        <v>121</v>
      </c>
      <c r="C38" s="68">
        <v>250</v>
      </c>
      <c r="D38" s="166"/>
    </row>
    <row r="39" spans="1:6" ht="37.5">
      <c r="A39" s="160"/>
      <c r="B39" s="80" t="s">
        <v>122</v>
      </c>
      <c r="C39" s="68">
        <v>200</v>
      </c>
      <c r="D39" s="166"/>
    </row>
    <row r="40" spans="1:6" ht="37.5">
      <c r="A40" s="160"/>
      <c r="B40" s="80" t="s">
        <v>123</v>
      </c>
      <c r="C40" s="68">
        <v>220</v>
      </c>
      <c r="D40" s="166"/>
    </row>
    <row r="41" spans="1:6" ht="37.5">
      <c r="A41" s="160"/>
      <c r="B41" s="80" t="s">
        <v>124</v>
      </c>
      <c r="C41" s="68">
        <v>330</v>
      </c>
      <c r="D41" s="166"/>
    </row>
    <row r="42" spans="1:6" ht="150">
      <c r="A42" s="160"/>
      <c r="B42" s="67" t="s">
        <v>125</v>
      </c>
      <c r="C42" s="68">
        <f>650+350</f>
        <v>1000</v>
      </c>
      <c r="D42" s="166"/>
    </row>
    <row r="43" spans="1:6" ht="56.25">
      <c r="A43" s="160"/>
      <c r="B43" s="67" t="s">
        <v>126</v>
      </c>
      <c r="C43" s="68">
        <v>300</v>
      </c>
      <c r="D43" s="166"/>
    </row>
    <row r="44" spans="1:6" ht="56.25">
      <c r="A44" s="160"/>
      <c r="B44" s="80" t="s">
        <v>127</v>
      </c>
      <c r="C44" s="68">
        <v>700</v>
      </c>
      <c r="D44" s="166"/>
    </row>
    <row r="45" spans="1:6" ht="37.5">
      <c r="A45" s="160"/>
      <c r="B45" s="67" t="s">
        <v>128</v>
      </c>
      <c r="C45" s="68">
        <v>200</v>
      </c>
      <c r="D45" s="166"/>
    </row>
    <row r="46" spans="1:6" ht="56.25">
      <c r="A46" s="160"/>
      <c r="B46" s="67" t="s">
        <v>129</v>
      </c>
      <c r="C46" s="68">
        <v>1800</v>
      </c>
      <c r="D46" s="166"/>
    </row>
    <row r="47" spans="1:6" ht="56.25">
      <c r="A47" s="161"/>
      <c r="B47" s="67" t="s">
        <v>130</v>
      </c>
      <c r="C47" s="68">
        <v>1200</v>
      </c>
      <c r="D47" s="167"/>
    </row>
    <row r="48" spans="1:6" ht="37.5">
      <c r="A48" s="168">
        <v>22</v>
      </c>
      <c r="B48" s="81" t="s">
        <v>131</v>
      </c>
      <c r="C48" s="82">
        <f>C49+C50+C51+C52</f>
        <v>18363</v>
      </c>
      <c r="D48" s="165" t="s">
        <v>132</v>
      </c>
      <c r="F48" s="72" t="e">
        <f>C48-#REF!-#REF!-#REF!</f>
        <v>#REF!</v>
      </c>
    </row>
    <row r="49" spans="1:15" ht="112.5">
      <c r="A49" s="168"/>
      <c r="B49" s="83" t="s">
        <v>133</v>
      </c>
      <c r="C49" s="68">
        <v>15513</v>
      </c>
      <c r="D49" s="166"/>
      <c r="F49" s="72"/>
    </row>
    <row r="50" spans="1:15" ht="56.25">
      <c r="A50" s="168"/>
      <c r="B50" s="83" t="s">
        <v>134</v>
      </c>
      <c r="C50" s="68">
        <v>1750</v>
      </c>
      <c r="D50" s="166"/>
    </row>
    <row r="51" spans="1:15" ht="93.75">
      <c r="A51" s="168"/>
      <c r="B51" s="83" t="s">
        <v>135</v>
      </c>
      <c r="C51" s="68">
        <v>500</v>
      </c>
      <c r="D51" s="166"/>
      <c r="G51" s="84">
        <f>92223.5-C53</f>
        <v>0</v>
      </c>
    </row>
    <row r="52" spans="1:15" ht="37.5">
      <c r="A52" s="168"/>
      <c r="B52" s="83" t="s">
        <v>136</v>
      </c>
      <c r="C52" s="68">
        <v>600</v>
      </c>
      <c r="D52" s="167"/>
    </row>
    <row r="53" spans="1:15">
      <c r="A53" s="169" t="s">
        <v>137</v>
      </c>
      <c r="B53" s="170"/>
      <c r="C53" s="82">
        <f>C48+C16+C5</f>
        <v>92223.5</v>
      </c>
      <c r="D53" s="85"/>
      <c r="F53" s="72" t="e">
        <f>C53-C48+F48</f>
        <v>#REF!</v>
      </c>
      <c r="G53" s="84" t="e">
        <f>F53-855-#REF!</f>
        <v>#REF!</v>
      </c>
    </row>
    <row r="54" spans="1:15">
      <c r="A54" s="86"/>
      <c r="B54" s="86"/>
      <c r="C54" s="87"/>
      <c r="D54" s="60"/>
    </row>
    <row r="55" spans="1:15" ht="37.5">
      <c r="B55" s="88" t="s">
        <v>77</v>
      </c>
      <c r="C55" s="88"/>
      <c r="D55" s="88" t="s">
        <v>78</v>
      </c>
      <c r="E55" s="88"/>
      <c r="F55" s="89"/>
      <c r="G55" s="90"/>
      <c r="H55" s="47"/>
      <c r="I55" s="47"/>
      <c r="J55" s="52"/>
      <c r="K55" s="52"/>
      <c r="L55" s="157"/>
      <c r="M55" s="157"/>
      <c r="N55" s="157"/>
      <c r="O55" s="157"/>
    </row>
    <row r="57" spans="1:15">
      <c r="D57" s="72"/>
    </row>
    <row r="58" spans="1:15">
      <c r="B58" s="70"/>
      <c r="D58" s="92"/>
    </row>
    <row r="59" spans="1:15">
      <c r="D59" s="92"/>
    </row>
    <row r="60" spans="1:15">
      <c r="D60" s="72"/>
    </row>
    <row r="61" spans="1:15">
      <c r="D61" s="72"/>
    </row>
    <row r="62" spans="1:15">
      <c r="D62" s="72"/>
    </row>
    <row r="63" spans="1:15">
      <c r="D63" s="72"/>
    </row>
    <row r="64" spans="1:15">
      <c r="D64" s="72"/>
    </row>
    <row r="65" spans="2:6">
      <c r="D65" s="72"/>
    </row>
    <row r="66" spans="2:6">
      <c r="B66" s="93"/>
      <c r="D66" s="72"/>
    </row>
    <row r="67" spans="2:6">
      <c r="B67" s="162"/>
      <c r="D67" s="72"/>
    </row>
    <row r="68" spans="2:6">
      <c r="B68" s="164"/>
      <c r="D68" s="72"/>
    </row>
    <row r="69" spans="2:6">
      <c r="D69" s="72"/>
    </row>
    <row r="70" spans="2:6">
      <c r="D70" s="72"/>
      <c r="F70" s="72"/>
    </row>
  </sheetData>
  <mergeCells count="19">
    <mergeCell ref="B67:B68"/>
    <mergeCell ref="A35:A47"/>
    <mergeCell ref="D35:D47"/>
    <mergeCell ref="A48:A52"/>
    <mergeCell ref="D48:D52"/>
    <mergeCell ref="A53:B53"/>
    <mergeCell ref="L55:O55"/>
    <mergeCell ref="D13:D14"/>
    <mergeCell ref="A16:B16"/>
    <mergeCell ref="A22:A29"/>
    <mergeCell ref="D22:D29"/>
    <mergeCell ref="A30:A31"/>
    <mergeCell ref="D30:D31"/>
    <mergeCell ref="D9:D10"/>
    <mergeCell ref="A1:D1"/>
    <mergeCell ref="A2:D2"/>
    <mergeCell ref="A3:C3"/>
    <mergeCell ref="A5:B5"/>
    <mergeCell ref="D6:D7"/>
  </mergeCells>
  <phoneticPr fontId="26" type="noConversion"/>
  <pageMargins left="0.7" right="0.7" top="0.75" bottom="0.75" header="0.3" footer="0.3"/>
  <pageSetup paperSize="9" scale="93" orientation="portrait" r:id="rId1"/>
  <colBreaks count="1" manualBreakCount="1">
    <brk id="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P132"/>
  <sheetViews>
    <sheetView tabSelected="1" view="pageBreakPreview" topLeftCell="A37" zoomScale="70" zoomScaleNormal="50" zoomScaleSheetLayoutView="70" workbookViewId="0">
      <selection activeCell="K43" sqref="K43"/>
    </sheetView>
  </sheetViews>
  <sheetFormatPr defaultRowHeight="20.25"/>
  <cols>
    <col min="1" max="1" width="54.42578125" style="119" customWidth="1"/>
    <col min="2" max="2" width="15.5703125" style="120" customWidth="1"/>
    <col min="3" max="3" width="15.28515625" style="127" customWidth="1"/>
    <col min="4" max="4" width="15.7109375" style="127" customWidth="1"/>
    <col min="5" max="5" width="12.7109375" style="127" customWidth="1"/>
    <col min="6" max="6" width="15.140625" style="120" customWidth="1"/>
    <col min="7" max="7" width="28" style="120" customWidth="1"/>
    <col min="8" max="8" width="14.140625" style="120" customWidth="1"/>
    <col min="9" max="9" width="15.140625" style="121" customWidth="1"/>
    <col min="10" max="10" width="15.7109375" style="120" customWidth="1"/>
    <col min="11" max="11" width="16.7109375" style="120" customWidth="1"/>
    <col min="12" max="12" width="16.85546875" style="120" customWidth="1"/>
    <col min="13" max="13" width="18.28515625" style="122" customWidth="1"/>
    <col min="14" max="14" width="91.28515625" style="123" customWidth="1"/>
    <col min="15" max="15" width="28.140625" style="94" customWidth="1"/>
    <col min="16" max="16" width="15.85546875" style="94" bestFit="1" customWidth="1"/>
    <col min="17" max="16384" width="9.140625" style="94"/>
  </cols>
  <sheetData>
    <row r="1" spans="1:16" ht="48.75" customHeight="1">
      <c r="A1" s="178" t="s">
        <v>140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6" ht="43.5" customHeight="1">
      <c r="A2" s="172" t="s">
        <v>141</v>
      </c>
      <c r="B2" s="172" t="s">
        <v>142</v>
      </c>
      <c r="C2" s="172" t="s">
        <v>143</v>
      </c>
      <c r="D2" s="172" t="s">
        <v>144</v>
      </c>
      <c r="E2" s="172" t="s">
        <v>145</v>
      </c>
      <c r="F2" s="172" t="s">
        <v>146</v>
      </c>
      <c r="G2" s="171" t="s">
        <v>147</v>
      </c>
      <c r="H2" s="172" t="s">
        <v>148</v>
      </c>
      <c r="I2" s="171" t="s">
        <v>149</v>
      </c>
      <c r="J2" s="172" t="s">
        <v>150</v>
      </c>
      <c r="K2" s="172" t="s">
        <v>151</v>
      </c>
      <c r="L2" s="172" t="s">
        <v>152</v>
      </c>
      <c r="M2" s="173" t="s">
        <v>153</v>
      </c>
      <c r="N2" s="173"/>
    </row>
    <row r="3" spans="1:16" ht="223.5" customHeight="1">
      <c r="A3" s="172"/>
      <c r="B3" s="172"/>
      <c r="C3" s="172"/>
      <c r="D3" s="172"/>
      <c r="E3" s="172"/>
      <c r="F3" s="172"/>
      <c r="G3" s="171"/>
      <c r="H3" s="172"/>
      <c r="I3" s="171"/>
      <c r="J3" s="172"/>
      <c r="K3" s="172"/>
      <c r="L3" s="172"/>
      <c r="M3" s="95" t="s">
        <v>154</v>
      </c>
      <c r="N3" s="95" t="s">
        <v>155</v>
      </c>
    </row>
    <row r="4" spans="1:16" ht="44.25" customHeight="1">
      <c r="A4" s="96" t="s">
        <v>156</v>
      </c>
      <c r="B4" s="97">
        <v>0</v>
      </c>
      <c r="C4" s="97">
        <v>135</v>
      </c>
      <c r="D4" s="97">
        <v>18</v>
      </c>
      <c r="E4" s="98">
        <v>12</v>
      </c>
      <c r="F4" s="98">
        <v>27.7</v>
      </c>
      <c r="G4" s="98">
        <v>89</v>
      </c>
      <c r="H4" s="98">
        <v>312.5</v>
      </c>
      <c r="I4" s="98">
        <v>0</v>
      </c>
      <c r="J4" s="97">
        <v>0</v>
      </c>
      <c r="K4" s="97">
        <v>13950</v>
      </c>
      <c r="L4" s="97">
        <v>300</v>
      </c>
      <c r="M4" s="97">
        <f t="shared" ref="M4:M9" si="0">SUM(B4:L4)</f>
        <v>14844.2</v>
      </c>
      <c r="N4" s="99" t="s">
        <v>157</v>
      </c>
    </row>
    <row r="5" spans="1:16" ht="187.5" customHeight="1">
      <c r="A5" s="96" t="s">
        <v>25</v>
      </c>
      <c r="B5" s="97">
        <v>3892.7999999999997</v>
      </c>
      <c r="C5" s="97">
        <v>565</v>
      </c>
      <c r="D5" s="97">
        <v>0</v>
      </c>
      <c r="E5" s="98">
        <v>4</v>
      </c>
      <c r="F5" s="98">
        <v>1.7</v>
      </c>
      <c r="G5" s="98">
        <v>0</v>
      </c>
      <c r="H5" s="98">
        <v>12343.5</v>
      </c>
      <c r="I5" s="100">
        <v>5381.82</v>
      </c>
      <c r="J5" s="97">
        <v>16758.400000000001</v>
      </c>
      <c r="K5" s="97">
        <f>6*430</f>
        <v>2580</v>
      </c>
      <c r="L5" s="97">
        <v>9793.7999999999993</v>
      </c>
      <c r="M5" s="97">
        <f t="shared" si="0"/>
        <v>51321.020000000004</v>
      </c>
      <c r="N5" s="101" t="s">
        <v>158</v>
      </c>
    </row>
    <row r="6" spans="1:16" ht="145.5" customHeight="1">
      <c r="A6" s="96" t="s">
        <v>159</v>
      </c>
      <c r="B6" s="97">
        <v>28522.499999999996</v>
      </c>
      <c r="C6" s="97">
        <v>40</v>
      </c>
      <c r="D6" s="97">
        <v>104.4</v>
      </c>
      <c r="E6" s="98">
        <v>12</v>
      </c>
      <c r="F6" s="98">
        <v>28.6</v>
      </c>
      <c r="G6" s="98">
        <v>108</v>
      </c>
      <c r="H6" s="98">
        <v>647</v>
      </c>
      <c r="I6" s="98">
        <v>34660.699999999997</v>
      </c>
      <c r="J6" s="97">
        <v>17776.2</v>
      </c>
      <c r="K6" s="97">
        <f>4*430</f>
        <v>1720</v>
      </c>
      <c r="L6" s="97">
        <v>4381.3999999999996</v>
      </c>
      <c r="M6" s="97">
        <f t="shared" si="0"/>
        <v>88000.799999999988</v>
      </c>
      <c r="N6" s="101" t="s">
        <v>160</v>
      </c>
    </row>
    <row r="7" spans="1:16" ht="139.5" customHeight="1">
      <c r="A7" s="96" t="s">
        <v>161</v>
      </c>
      <c r="B7" s="97">
        <v>207.2</v>
      </c>
      <c r="C7" s="97">
        <v>37.5</v>
      </c>
      <c r="D7" s="97">
        <v>120</v>
      </c>
      <c r="E7" s="98">
        <v>12.5</v>
      </c>
      <c r="F7" s="98">
        <v>48.84</v>
      </c>
      <c r="G7" s="98">
        <v>0</v>
      </c>
      <c r="H7" s="98">
        <v>706</v>
      </c>
      <c r="I7" s="102">
        <v>5200</v>
      </c>
      <c r="J7" s="97">
        <f>4432.8+5000</f>
        <v>9432.7999999999993</v>
      </c>
      <c r="K7" s="97">
        <f>1720</f>
        <v>1720</v>
      </c>
      <c r="L7" s="97">
        <v>8332.6</v>
      </c>
      <c r="M7" s="97">
        <f t="shared" si="0"/>
        <v>25817.440000000002</v>
      </c>
      <c r="N7" s="101" t="s">
        <v>162</v>
      </c>
    </row>
    <row r="8" spans="1:16" ht="137.25" customHeight="1">
      <c r="A8" s="96" t="s">
        <v>163</v>
      </c>
      <c r="B8" s="97">
        <v>0</v>
      </c>
      <c r="C8" s="97">
        <v>27.5</v>
      </c>
      <c r="D8" s="97">
        <v>3600</v>
      </c>
      <c r="E8" s="98">
        <v>6</v>
      </c>
      <c r="F8" s="98">
        <v>34.1</v>
      </c>
      <c r="G8" s="98">
        <v>0</v>
      </c>
      <c r="H8" s="98">
        <v>375</v>
      </c>
      <c r="I8" s="98">
        <v>0</v>
      </c>
      <c r="J8" s="97">
        <v>12180.2</v>
      </c>
      <c r="K8" s="97">
        <v>430</v>
      </c>
      <c r="L8" s="97">
        <v>3843.4</v>
      </c>
      <c r="M8" s="97">
        <f t="shared" si="0"/>
        <v>20496.200000000004</v>
      </c>
      <c r="N8" s="101" t="s">
        <v>164</v>
      </c>
    </row>
    <row r="9" spans="1:16" ht="178.5" customHeight="1">
      <c r="A9" s="96" t="s">
        <v>165</v>
      </c>
      <c r="B9" s="97">
        <v>0</v>
      </c>
      <c r="C9" s="97">
        <v>32.5</v>
      </c>
      <c r="D9" s="97">
        <v>1274.328</v>
      </c>
      <c r="E9" s="98">
        <v>0</v>
      </c>
      <c r="F9" s="98">
        <v>0</v>
      </c>
      <c r="G9" s="98">
        <v>443.03800000000001</v>
      </c>
      <c r="H9" s="98">
        <v>63</v>
      </c>
      <c r="I9" s="98">
        <v>0</v>
      </c>
      <c r="J9" s="97">
        <v>507.6</v>
      </c>
      <c r="K9" s="97">
        <v>430</v>
      </c>
      <c r="L9" s="97">
        <v>3839.5</v>
      </c>
      <c r="M9" s="97">
        <f t="shared" si="0"/>
        <v>6589.9660000000003</v>
      </c>
      <c r="N9" s="101" t="s">
        <v>166</v>
      </c>
    </row>
    <row r="10" spans="1:16" ht="29.25" customHeight="1">
      <c r="A10" s="103" t="s">
        <v>31</v>
      </c>
      <c r="B10" s="104">
        <f t="shared" ref="B10:M10" si="1">SUM(B5:B9)</f>
        <v>32622.499999999996</v>
      </c>
      <c r="C10" s="104">
        <f t="shared" si="1"/>
        <v>702.5</v>
      </c>
      <c r="D10" s="104">
        <f t="shared" si="1"/>
        <v>5098.7280000000001</v>
      </c>
      <c r="E10" s="105">
        <f t="shared" si="1"/>
        <v>34.5</v>
      </c>
      <c r="F10" s="105">
        <f t="shared" si="1"/>
        <v>113.24000000000001</v>
      </c>
      <c r="G10" s="105">
        <f t="shared" si="1"/>
        <v>551.03800000000001</v>
      </c>
      <c r="H10" s="105">
        <f t="shared" si="1"/>
        <v>14134.5</v>
      </c>
      <c r="I10" s="105">
        <f t="shared" si="1"/>
        <v>45242.52</v>
      </c>
      <c r="J10" s="104">
        <f t="shared" si="1"/>
        <v>56655.200000000004</v>
      </c>
      <c r="K10" s="104">
        <f t="shared" si="1"/>
        <v>6880</v>
      </c>
      <c r="L10" s="104">
        <f t="shared" si="1"/>
        <v>30190.7</v>
      </c>
      <c r="M10" s="104">
        <f t="shared" si="1"/>
        <v>192225.42600000004</v>
      </c>
      <c r="N10" s="104"/>
    </row>
    <row r="11" spans="1:16" ht="43.5" customHeight="1">
      <c r="A11" s="96" t="s">
        <v>167</v>
      </c>
      <c r="B11" s="97">
        <v>520</v>
      </c>
      <c r="C11" s="97">
        <v>215</v>
      </c>
      <c r="D11" s="97">
        <v>24</v>
      </c>
      <c r="E11" s="98">
        <v>6</v>
      </c>
      <c r="F11" s="98">
        <v>60</v>
      </c>
      <c r="G11" s="98">
        <v>0</v>
      </c>
      <c r="H11" s="98">
        <v>162.69999999999999</v>
      </c>
      <c r="I11" s="98">
        <v>0</v>
      </c>
      <c r="J11" s="97">
        <v>1618.8</v>
      </c>
      <c r="K11" s="97">
        <v>0</v>
      </c>
      <c r="L11" s="97">
        <f>500+7591.276</f>
        <v>8091.2759999999998</v>
      </c>
      <c r="M11" s="97">
        <f>SUM(B11:L11)</f>
        <v>10697.776</v>
      </c>
      <c r="N11" s="101" t="s">
        <v>168</v>
      </c>
    </row>
    <row r="12" spans="1:16" ht="87.75" customHeight="1">
      <c r="A12" s="96" t="s">
        <v>169</v>
      </c>
      <c r="B12" s="97">
        <v>23.2</v>
      </c>
      <c r="C12" s="97">
        <v>42.5</v>
      </c>
      <c r="D12" s="97">
        <v>755.8</v>
      </c>
      <c r="E12" s="98">
        <v>4.3</v>
      </c>
      <c r="F12" s="98">
        <v>15</v>
      </c>
      <c r="G12" s="98">
        <v>9</v>
      </c>
      <c r="H12" s="98">
        <v>20</v>
      </c>
      <c r="I12" s="98">
        <v>0</v>
      </c>
      <c r="J12" s="97">
        <f>464.9+255</f>
        <v>719.9</v>
      </c>
      <c r="K12" s="97">
        <v>0</v>
      </c>
      <c r="L12" s="97">
        <v>764.2</v>
      </c>
      <c r="M12" s="97">
        <f>SUM(B12:L12)</f>
        <v>2353.8999999999996</v>
      </c>
      <c r="N12" s="101" t="s">
        <v>170</v>
      </c>
    </row>
    <row r="13" spans="1:16" ht="64.5" customHeight="1">
      <c r="A13" s="96" t="s">
        <v>171</v>
      </c>
      <c r="B13" s="97">
        <v>8</v>
      </c>
      <c r="C13" s="97">
        <v>12.5</v>
      </c>
      <c r="D13" s="97">
        <v>0</v>
      </c>
      <c r="E13" s="98">
        <v>0</v>
      </c>
      <c r="F13" s="98">
        <v>31.4</v>
      </c>
      <c r="G13" s="98">
        <v>223.2</v>
      </c>
      <c r="H13" s="98">
        <v>120</v>
      </c>
      <c r="I13" s="98">
        <v>0</v>
      </c>
      <c r="J13" s="97">
        <v>608.5</v>
      </c>
      <c r="K13" s="97">
        <v>0</v>
      </c>
      <c r="L13" s="97">
        <v>2250</v>
      </c>
      <c r="M13" s="97">
        <f>SUM(B13:L13)</f>
        <v>3253.6</v>
      </c>
      <c r="N13" s="101" t="s">
        <v>172</v>
      </c>
    </row>
    <row r="14" spans="1:16" ht="21" customHeight="1">
      <c r="A14" s="103" t="s">
        <v>37</v>
      </c>
      <c r="B14" s="104">
        <f t="shared" ref="B14:M14" si="2">SUM(B11:B13)</f>
        <v>551.20000000000005</v>
      </c>
      <c r="C14" s="104">
        <f t="shared" si="2"/>
        <v>270</v>
      </c>
      <c r="D14" s="104">
        <f t="shared" si="2"/>
        <v>779.8</v>
      </c>
      <c r="E14" s="105">
        <f t="shared" si="2"/>
        <v>10.3</v>
      </c>
      <c r="F14" s="105">
        <f t="shared" si="2"/>
        <v>106.4</v>
      </c>
      <c r="G14" s="105">
        <f t="shared" si="2"/>
        <v>232.2</v>
      </c>
      <c r="H14" s="105">
        <f t="shared" si="2"/>
        <v>302.7</v>
      </c>
      <c r="I14" s="105">
        <f t="shared" si="2"/>
        <v>0</v>
      </c>
      <c r="J14" s="104">
        <f t="shared" si="2"/>
        <v>2947.2</v>
      </c>
      <c r="K14" s="104">
        <f t="shared" si="2"/>
        <v>0</v>
      </c>
      <c r="L14" s="104">
        <f t="shared" si="2"/>
        <v>11105.476000000001</v>
      </c>
      <c r="M14" s="104">
        <f t="shared" si="2"/>
        <v>16305.276</v>
      </c>
      <c r="N14" s="104"/>
    </row>
    <row r="15" spans="1:16" ht="231.75" customHeight="1">
      <c r="A15" s="106" t="s">
        <v>173</v>
      </c>
      <c r="B15" s="97">
        <v>14000</v>
      </c>
      <c r="C15" s="97">
        <f>[2]Атестация!G27</f>
        <v>149</v>
      </c>
      <c r="D15" s="97">
        <v>0</v>
      </c>
      <c r="E15" s="98">
        <v>49</v>
      </c>
      <c r="F15" s="98">
        <v>30</v>
      </c>
      <c r="G15" s="98">
        <v>65</v>
      </c>
      <c r="H15" s="98"/>
      <c r="I15" s="98">
        <v>10000</v>
      </c>
      <c r="J15" s="97">
        <f>24+93+350+180+141+2000</f>
        <v>2788</v>
      </c>
      <c r="K15" s="97">
        <f>4865+1200+2450+550+500</f>
        <v>9565</v>
      </c>
      <c r="L15" s="97">
        <v>23317.5</v>
      </c>
      <c r="M15" s="98">
        <f t="shared" ref="M15:M37" si="3">SUM(B15:L15)</f>
        <v>59963.5</v>
      </c>
      <c r="N15" s="101" t="s">
        <v>174</v>
      </c>
      <c r="O15" s="107"/>
    </row>
    <row r="16" spans="1:16" ht="63.75" customHeight="1">
      <c r="A16" s="108" t="s">
        <v>175</v>
      </c>
      <c r="B16" s="97">
        <v>1902.8</v>
      </c>
      <c r="C16" s="97">
        <f>[2]Атестация!G28</f>
        <v>134</v>
      </c>
      <c r="D16" s="97">
        <v>0</v>
      </c>
      <c r="E16" s="98">
        <f>42+19.2</f>
        <v>61.2</v>
      </c>
      <c r="F16" s="102">
        <v>25</v>
      </c>
      <c r="G16" s="98">
        <v>65</v>
      </c>
      <c r="H16" s="102"/>
      <c r="I16" s="98">
        <f>13654.7+420</f>
        <v>14074.7</v>
      </c>
      <c r="J16" s="97">
        <f>2000+7+350+140+140+15.5+200+500</f>
        <v>3352.5</v>
      </c>
      <c r="K16" s="97"/>
      <c r="L16" s="97">
        <v>4137.7</v>
      </c>
      <c r="M16" s="97">
        <f t="shared" si="3"/>
        <v>23752.9</v>
      </c>
      <c r="N16" s="101" t="s">
        <v>176</v>
      </c>
      <c r="P16" s="107">
        <f>O16-M16</f>
        <v>-23752.9</v>
      </c>
    </row>
    <row r="17" spans="1:15" ht="130.5" customHeight="1">
      <c r="A17" s="106" t="s">
        <v>98</v>
      </c>
      <c r="B17" s="97">
        <v>3728</v>
      </c>
      <c r="C17" s="97">
        <f>[2]Атестация!G29</f>
        <v>151.5</v>
      </c>
      <c r="D17" s="97">
        <v>0</v>
      </c>
      <c r="E17" s="98">
        <v>42</v>
      </c>
      <c r="F17" s="102">
        <v>25</v>
      </c>
      <c r="G17" s="98">
        <v>65</v>
      </c>
      <c r="H17" s="102"/>
      <c r="I17" s="98">
        <v>2000</v>
      </c>
      <c r="J17" s="97">
        <f>2000+300+350+160+77.5+300</f>
        <v>3187.5</v>
      </c>
      <c r="K17" s="97">
        <v>8000</v>
      </c>
      <c r="L17" s="97">
        <v>17474.3</v>
      </c>
      <c r="M17" s="97">
        <f t="shared" si="3"/>
        <v>34673.300000000003</v>
      </c>
      <c r="N17" s="101" t="s">
        <v>177</v>
      </c>
      <c r="O17" s="107"/>
    </row>
    <row r="18" spans="1:15" ht="91.5" customHeight="1">
      <c r="A18" s="108" t="s">
        <v>178</v>
      </c>
      <c r="B18" s="97">
        <v>0</v>
      </c>
      <c r="C18" s="97">
        <f>[2]Атестация!G30</f>
        <v>116.5</v>
      </c>
      <c r="D18" s="97">
        <v>0</v>
      </c>
      <c r="E18" s="98">
        <v>40.5</v>
      </c>
      <c r="F18" s="98">
        <v>25</v>
      </c>
      <c r="G18" s="98">
        <v>65</v>
      </c>
      <c r="H18" s="98"/>
      <c r="I18" s="98">
        <v>0</v>
      </c>
      <c r="J18" s="97">
        <f>1542+120+117</f>
        <v>1779</v>
      </c>
      <c r="K18" s="97"/>
      <c r="L18" s="97">
        <v>5011.3</v>
      </c>
      <c r="M18" s="97">
        <f t="shared" si="3"/>
        <v>7037.3</v>
      </c>
      <c r="N18" s="101" t="s">
        <v>179</v>
      </c>
      <c r="O18" s="107"/>
    </row>
    <row r="19" spans="1:15" ht="84" customHeight="1">
      <c r="A19" s="108" t="s">
        <v>180</v>
      </c>
      <c r="B19" s="97">
        <f>1616.4+120+120+100</f>
        <v>1956.4</v>
      </c>
      <c r="C19" s="97">
        <f>[2]Атестация!G31</f>
        <v>86.5</v>
      </c>
      <c r="D19" s="97">
        <v>0</v>
      </c>
      <c r="E19" s="98">
        <v>27.5</v>
      </c>
      <c r="F19" s="98">
        <v>25</v>
      </c>
      <c r="G19" s="98">
        <v>65</v>
      </c>
      <c r="H19" s="98"/>
      <c r="I19" s="98">
        <v>0</v>
      </c>
      <c r="J19" s="97">
        <f>1500+200.1+20+15+350+77.5</f>
        <v>2162.6</v>
      </c>
      <c r="K19" s="97"/>
      <c r="L19" s="97">
        <v>4628</v>
      </c>
      <c r="M19" s="97">
        <f t="shared" si="3"/>
        <v>8951</v>
      </c>
      <c r="N19" s="101" t="s">
        <v>181</v>
      </c>
      <c r="O19" s="107"/>
    </row>
    <row r="20" spans="1:15" ht="109.5" customHeight="1">
      <c r="A20" s="106" t="s">
        <v>182</v>
      </c>
      <c r="B20" s="97">
        <v>0</v>
      </c>
      <c r="C20" s="97">
        <f>[2]Атестация!G32</f>
        <v>86.5</v>
      </c>
      <c r="D20" s="97">
        <v>0</v>
      </c>
      <c r="E20" s="98">
        <v>36</v>
      </c>
      <c r="F20" s="98"/>
      <c r="G20" s="98">
        <v>65</v>
      </c>
      <c r="H20" s="98"/>
      <c r="I20" s="98">
        <v>0</v>
      </c>
      <c r="J20" s="97">
        <f>2000+6+84</f>
        <v>2090</v>
      </c>
      <c r="K20" s="97"/>
      <c r="L20" s="97">
        <v>4890.2700000000004</v>
      </c>
      <c r="M20" s="97">
        <f t="shared" si="3"/>
        <v>7167.77</v>
      </c>
      <c r="N20" s="101" t="s">
        <v>183</v>
      </c>
      <c r="O20" s="109"/>
    </row>
    <row r="21" spans="1:15" ht="88.5" customHeight="1">
      <c r="A21" s="108" t="s">
        <v>100</v>
      </c>
      <c r="B21" s="97">
        <v>1062.5</v>
      </c>
      <c r="C21" s="97">
        <f>[2]Атестация!G33</f>
        <v>49</v>
      </c>
      <c r="D21" s="97">
        <v>0</v>
      </c>
      <c r="E21" s="98">
        <v>36</v>
      </c>
      <c r="F21" s="98">
        <v>25</v>
      </c>
      <c r="G21" s="98">
        <v>65</v>
      </c>
      <c r="H21" s="98"/>
      <c r="I21" s="98">
        <v>0</v>
      </c>
      <c r="J21" s="97">
        <f>900+350+137.5</f>
        <v>1387.5</v>
      </c>
      <c r="K21" s="97">
        <v>8340</v>
      </c>
      <c r="L21" s="97">
        <v>4823.6000000000004</v>
      </c>
      <c r="M21" s="97">
        <f t="shared" si="3"/>
        <v>15788.6</v>
      </c>
      <c r="N21" s="101" t="s">
        <v>184</v>
      </c>
      <c r="O21" s="107"/>
    </row>
    <row r="22" spans="1:15" ht="108" customHeight="1">
      <c r="A22" s="108" t="s">
        <v>185</v>
      </c>
      <c r="B22" s="97">
        <v>1088.5</v>
      </c>
      <c r="C22" s="97">
        <f>[2]Атестация!G34</f>
        <v>334</v>
      </c>
      <c r="D22" s="97">
        <v>0</v>
      </c>
      <c r="E22" s="98">
        <v>20.5</v>
      </c>
      <c r="F22" s="98"/>
      <c r="G22" s="98">
        <v>65</v>
      </c>
      <c r="H22" s="98"/>
      <c r="I22" s="98">
        <v>0</v>
      </c>
      <c r="J22" s="97">
        <f>140+2310</f>
        <v>2450</v>
      </c>
      <c r="K22" s="97"/>
      <c r="L22" s="97">
        <f>6450+1600</f>
        <v>8050</v>
      </c>
      <c r="M22" s="97">
        <f t="shared" si="3"/>
        <v>12008</v>
      </c>
      <c r="N22" s="101" t="s">
        <v>186</v>
      </c>
      <c r="O22" s="107"/>
    </row>
    <row r="23" spans="1:15" ht="72.75" customHeight="1">
      <c r="A23" s="108" t="s">
        <v>187</v>
      </c>
      <c r="B23" s="97">
        <v>0</v>
      </c>
      <c r="C23" s="97">
        <f>[2]Атестация!G35</f>
        <v>56.5</v>
      </c>
      <c r="D23" s="97">
        <v>0</v>
      </c>
      <c r="E23" s="98">
        <v>20.5</v>
      </c>
      <c r="F23" s="98">
        <v>20</v>
      </c>
      <c r="G23" s="98">
        <v>65</v>
      </c>
      <c r="H23" s="98"/>
      <c r="I23" s="98">
        <v>0</v>
      </c>
      <c r="J23" s="97">
        <f>1000+140+100</f>
        <v>1240</v>
      </c>
      <c r="K23" s="97"/>
      <c r="L23" s="97">
        <v>4639</v>
      </c>
      <c r="M23" s="97">
        <f t="shared" si="3"/>
        <v>6041</v>
      </c>
      <c r="N23" s="101" t="s">
        <v>188</v>
      </c>
      <c r="O23" s="107"/>
    </row>
    <row r="24" spans="1:15" ht="67.5" customHeight="1">
      <c r="A24" s="108" t="s">
        <v>189</v>
      </c>
      <c r="B24" s="97">
        <v>0</v>
      </c>
      <c r="C24" s="97">
        <f>[2]Атестация!G36</f>
        <v>61.5</v>
      </c>
      <c r="D24" s="97">
        <v>0</v>
      </c>
      <c r="E24" s="98">
        <v>26.5</v>
      </c>
      <c r="F24" s="98"/>
      <c r="G24" s="98">
        <v>65</v>
      </c>
      <c r="H24" s="98"/>
      <c r="I24" s="98">
        <v>0</v>
      </c>
      <c r="J24" s="97">
        <f>1000+30</f>
        <v>1030</v>
      </c>
      <c r="K24" s="97"/>
      <c r="L24" s="97">
        <v>2807</v>
      </c>
      <c r="M24" s="97">
        <f t="shared" si="3"/>
        <v>3990</v>
      </c>
      <c r="N24" s="101" t="s">
        <v>190</v>
      </c>
      <c r="O24" s="107"/>
    </row>
    <row r="25" spans="1:15" ht="87" customHeight="1">
      <c r="A25" s="108" t="s">
        <v>191</v>
      </c>
      <c r="B25" s="97">
        <v>0</v>
      </c>
      <c r="C25" s="97">
        <f>[2]Атестация!G37</f>
        <v>64</v>
      </c>
      <c r="D25" s="97">
        <v>0</v>
      </c>
      <c r="E25" s="98">
        <v>22</v>
      </c>
      <c r="F25" s="98">
        <v>20</v>
      </c>
      <c r="G25" s="98">
        <v>65</v>
      </c>
      <c r="H25" s="98"/>
      <c r="I25" s="98">
        <v>0</v>
      </c>
      <c r="J25" s="97">
        <f>1000+74</f>
        <v>1074</v>
      </c>
      <c r="K25" s="97"/>
      <c r="L25" s="97">
        <v>4193</v>
      </c>
      <c r="M25" s="97">
        <f t="shared" si="3"/>
        <v>5438</v>
      </c>
      <c r="N25" s="101" t="s">
        <v>192</v>
      </c>
      <c r="O25" s="107"/>
    </row>
    <row r="26" spans="1:15" ht="123" customHeight="1">
      <c r="A26" s="108" t="s">
        <v>112</v>
      </c>
      <c r="B26" s="97">
        <v>372.9</v>
      </c>
      <c r="C26" s="97">
        <f>[2]Атестация!G38</f>
        <v>19</v>
      </c>
      <c r="D26" s="97">
        <v>0</v>
      </c>
      <c r="E26" s="98"/>
      <c r="F26" s="98">
        <v>25</v>
      </c>
      <c r="G26" s="98">
        <f>65+60</f>
        <v>125</v>
      </c>
      <c r="H26" s="98"/>
      <c r="I26" s="98"/>
      <c r="J26" s="97">
        <f>100+100+300+300+25+18+40+22.5+126.3</f>
        <v>1031.8</v>
      </c>
      <c r="K26" s="97">
        <f>2000+1045.4</f>
        <v>3045.4</v>
      </c>
      <c r="L26" s="97">
        <v>4331</v>
      </c>
      <c r="M26" s="97">
        <f t="shared" si="3"/>
        <v>8950.1</v>
      </c>
      <c r="N26" s="101" t="s">
        <v>193</v>
      </c>
      <c r="O26" s="107"/>
    </row>
    <row r="27" spans="1:15" ht="389.25" customHeight="1">
      <c r="A27" s="96" t="s">
        <v>138</v>
      </c>
      <c r="B27" s="97">
        <v>143.19999999999999</v>
      </c>
      <c r="C27" s="97">
        <f>[3]Аттестация!G39</f>
        <v>286.5</v>
      </c>
      <c r="D27" s="97">
        <v>0</v>
      </c>
      <c r="E27" s="97"/>
      <c r="F27" s="97"/>
      <c r="G27" s="97">
        <f>65+18+7</f>
        <v>90</v>
      </c>
      <c r="H27" s="97">
        <v>360</v>
      </c>
      <c r="I27" s="98">
        <v>0</v>
      </c>
      <c r="J27" s="97">
        <f>70+40+200</f>
        <v>310</v>
      </c>
      <c r="K27" s="97">
        <f>1500+1250+850+980+150+150+100+160</f>
        <v>5140</v>
      </c>
      <c r="L27" s="97">
        <f>2370+72+32+160+50+1705+1500+2495</f>
        <v>8384</v>
      </c>
      <c r="M27" s="97">
        <f t="shared" si="3"/>
        <v>14713.7</v>
      </c>
      <c r="N27" s="101" t="s">
        <v>194</v>
      </c>
    </row>
    <row r="28" spans="1:15" ht="67.5" customHeight="1">
      <c r="A28" s="96" t="s">
        <v>53</v>
      </c>
      <c r="B28" s="97">
        <f>233.26+125.41</f>
        <v>358.66999999999996</v>
      </c>
      <c r="C28" s="97">
        <f>[3]Аттестация!G40</f>
        <v>84</v>
      </c>
      <c r="D28" s="97">
        <v>0</v>
      </c>
      <c r="E28" s="97"/>
      <c r="F28" s="97"/>
      <c r="G28" s="97">
        <f>65+18+7</f>
        <v>90</v>
      </c>
      <c r="H28" s="97">
        <v>0</v>
      </c>
      <c r="I28" s="98">
        <v>0</v>
      </c>
      <c r="J28" s="97">
        <v>0</v>
      </c>
      <c r="K28" s="97"/>
      <c r="L28" s="97">
        <f>800+4700+300+200+90+40</f>
        <v>6130</v>
      </c>
      <c r="M28" s="97">
        <f t="shared" si="3"/>
        <v>6662.67</v>
      </c>
      <c r="N28" s="101" t="s">
        <v>195</v>
      </c>
    </row>
    <row r="29" spans="1:15" ht="48" customHeight="1">
      <c r="A29" s="96" t="s">
        <v>196</v>
      </c>
      <c r="B29" s="97"/>
      <c r="C29" s="97">
        <f>[3]Аттестация!G41</f>
        <v>116.5</v>
      </c>
      <c r="D29" s="97">
        <v>160</v>
      </c>
      <c r="E29" s="97"/>
      <c r="F29" s="97"/>
      <c r="G29" s="97">
        <f>65+18</f>
        <v>83</v>
      </c>
      <c r="H29" s="97">
        <v>210</v>
      </c>
      <c r="I29" s="98">
        <v>0</v>
      </c>
      <c r="J29" s="97">
        <v>0</v>
      </c>
      <c r="K29" s="97"/>
      <c r="L29" s="97">
        <v>2000</v>
      </c>
      <c r="M29" s="97">
        <f t="shared" si="3"/>
        <v>2569.5</v>
      </c>
      <c r="N29" s="101" t="s">
        <v>197</v>
      </c>
    </row>
    <row r="30" spans="1:15" ht="65.25" customHeight="1">
      <c r="A30" s="96" t="s">
        <v>198</v>
      </c>
      <c r="B30" s="97"/>
      <c r="C30" s="97">
        <f>[3]Аттестация!G42</f>
        <v>36.5</v>
      </c>
      <c r="D30" s="97">
        <v>0</v>
      </c>
      <c r="E30" s="97"/>
      <c r="F30" s="97"/>
      <c r="G30" s="97">
        <f>65+18</f>
        <v>83</v>
      </c>
      <c r="H30" s="97">
        <v>0</v>
      </c>
      <c r="I30" s="98">
        <v>0</v>
      </c>
      <c r="J30" s="97">
        <v>0</v>
      </c>
      <c r="K30" s="97">
        <v>0</v>
      </c>
      <c r="L30" s="97">
        <f>400+800+1500</f>
        <v>2700</v>
      </c>
      <c r="M30" s="97">
        <f t="shared" si="3"/>
        <v>2819.5</v>
      </c>
      <c r="N30" s="101" t="s">
        <v>199</v>
      </c>
    </row>
    <row r="31" spans="1:15" ht="123.75" customHeight="1">
      <c r="A31" s="96" t="s">
        <v>200</v>
      </c>
      <c r="B31" s="97"/>
      <c r="C31" s="97">
        <f>[3]Аттестация!G43</f>
        <v>29</v>
      </c>
      <c r="D31" s="97"/>
      <c r="E31" s="97"/>
      <c r="F31" s="97"/>
      <c r="G31" s="97">
        <v>65</v>
      </c>
      <c r="H31" s="97"/>
      <c r="I31" s="98">
        <v>0</v>
      </c>
      <c r="J31" s="97"/>
      <c r="K31" s="97"/>
      <c r="L31" s="97">
        <f>260+16.7+9+11.5+40+31+8+75+50+200+48</f>
        <v>749.2</v>
      </c>
      <c r="M31" s="97">
        <f t="shared" si="3"/>
        <v>843.2</v>
      </c>
      <c r="N31" s="101" t="s">
        <v>201</v>
      </c>
    </row>
    <row r="32" spans="1:15" ht="68.25" customHeight="1">
      <c r="A32" s="96" t="s">
        <v>202</v>
      </c>
      <c r="B32" s="97"/>
      <c r="C32" s="97">
        <f>[3]Аттестация!G44</f>
        <v>51.5</v>
      </c>
      <c r="D32" s="97">
        <v>0</v>
      </c>
      <c r="E32" s="97"/>
      <c r="F32" s="97"/>
      <c r="G32" s="97">
        <f>18+3</f>
        <v>21</v>
      </c>
      <c r="H32" s="97">
        <v>7</v>
      </c>
      <c r="I32" s="98">
        <v>0</v>
      </c>
      <c r="J32" s="97">
        <v>0</v>
      </c>
      <c r="K32" s="97"/>
      <c r="L32" s="97">
        <f>800+1500+400</f>
        <v>2700</v>
      </c>
      <c r="M32" s="97">
        <f t="shared" si="3"/>
        <v>2779.5</v>
      </c>
      <c r="N32" s="101" t="s">
        <v>203</v>
      </c>
    </row>
    <row r="33" spans="1:14" ht="270" customHeight="1">
      <c r="A33" s="96" t="s">
        <v>204</v>
      </c>
      <c r="B33" s="97"/>
      <c r="C33" s="97">
        <f>[3]Аттестация!G45</f>
        <v>54</v>
      </c>
      <c r="D33" s="97">
        <v>0</v>
      </c>
      <c r="E33" s="97"/>
      <c r="F33" s="97"/>
      <c r="G33" s="97">
        <f>65+18</f>
        <v>83</v>
      </c>
      <c r="H33" s="97"/>
      <c r="I33" s="98">
        <v>0</v>
      </c>
      <c r="J33" s="97">
        <v>0</v>
      </c>
      <c r="K33" s="97"/>
      <c r="L33" s="97">
        <f>1500+136+182.42+161.53+47.2+78.63+57.26+800</f>
        <v>2963.0400000000004</v>
      </c>
      <c r="M33" s="97">
        <f t="shared" si="3"/>
        <v>3100.0400000000004</v>
      </c>
      <c r="N33" s="101" t="s">
        <v>205</v>
      </c>
    </row>
    <row r="34" spans="1:14" ht="138.75" customHeight="1">
      <c r="A34" s="96" t="s">
        <v>206</v>
      </c>
      <c r="B34" s="97"/>
      <c r="C34" s="97">
        <f>[3]Аттестация!G46</f>
        <v>191.5</v>
      </c>
      <c r="D34" s="97">
        <v>0</v>
      </c>
      <c r="E34" s="97"/>
      <c r="F34" s="97"/>
      <c r="G34" s="97">
        <f>65+18</f>
        <v>83</v>
      </c>
      <c r="H34" s="97">
        <v>2223</v>
      </c>
      <c r="I34" s="98">
        <v>0</v>
      </c>
      <c r="J34" s="97">
        <f>525+245+525+1875+1800+800+600+500+5+500</f>
        <v>7375</v>
      </c>
      <c r="K34" s="97"/>
      <c r="L34" s="97">
        <v>7716.5</v>
      </c>
      <c r="M34" s="97">
        <f t="shared" si="3"/>
        <v>17589</v>
      </c>
      <c r="N34" s="101" t="s">
        <v>207</v>
      </c>
    </row>
    <row r="35" spans="1:14" ht="241.5" customHeight="1">
      <c r="A35" s="96" t="s">
        <v>139</v>
      </c>
      <c r="B35" s="97"/>
      <c r="C35" s="97">
        <f>[3]Аттестация!G47</f>
        <v>16.5</v>
      </c>
      <c r="D35" s="97">
        <v>0</v>
      </c>
      <c r="E35" s="97"/>
      <c r="F35" s="97"/>
      <c r="G35" s="97">
        <f>18</f>
        <v>18</v>
      </c>
      <c r="H35" s="97"/>
      <c r="I35" s="98">
        <v>0</v>
      </c>
      <c r="J35" s="97">
        <v>200</v>
      </c>
      <c r="K35" s="97">
        <f>1500+2000+1000+3000+3000+2500+5940.1</f>
        <v>18940.099999999999</v>
      </c>
      <c r="L35" s="97">
        <v>160</v>
      </c>
      <c r="M35" s="97">
        <f t="shared" si="3"/>
        <v>19334.599999999999</v>
      </c>
      <c r="N35" s="101" t="s">
        <v>208</v>
      </c>
    </row>
    <row r="36" spans="1:14" ht="46.5" customHeight="1">
      <c r="A36" s="96" t="s">
        <v>209</v>
      </c>
      <c r="B36" s="97"/>
      <c r="C36" s="97">
        <f>[3]Аттестация!G48</f>
        <v>46.5</v>
      </c>
      <c r="D36" s="97">
        <v>0</v>
      </c>
      <c r="E36" s="97"/>
      <c r="F36" s="97"/>
      <c r="G36" s="97">
        <f>17.1+4.9</f>
        <v>22</v>
      </c>
      <c r="H36" s="97">
        <v>218.4</v>
      </c>
      <c r="I36" s="98">
        <v>0</v>
      </c>
      <c r="J36" s="97">
        <v>0</v>
      </c>
      <c r="K36" s="97"/>
      <c r="L36" s="97">
        <v>3340</v>
      </c>
      <c r="M36" s="97">
        <f t="shared" si="3"/>
        <v>3626.9</v>
      </c>
      <c r="N36" s="101" t="s">
        <v>210</v>
      </c>
    </row>
    <row r="37" spans="1:14" ht="81.75" customHeight="1">
      <c r="A37" s="96" t="s">
        <v>211</v>
      </c>
      <c r="B37" s="97"/>
      <c r="C37" s="97">
        <f>[3]Аттестация!G49</f>
        <v>34</v>
      </c>
      <c r="D37" s="97">
        <v>0</v>
      </c>
      <c r="E37" s="97"/>
      <c r="F37" s="97"/>
      <c r="G37" s="97">
        <v>13</v>
      </c>
      <c r="H37" s="97">
        <v>212.9</v>
      </c>
      <c r="I37" s="98">
        <v>0</v>
      </c>
      <c r="J37" s="97">
        <v>0</v>
      </c>
      <c r="K37" s="97"/>
      <c r="L37" s="97">
        <v>3189.85</v>
      </c>
      <c r="M37" s="97">
        <f t="shared" si="3"/>
        <v>3449.75</v>
      </c>
      <c r="N37" s="101" t="s">
        <v>212</v>
      </c>
    </row>
    <row r="38" spans="1:14" ht="51.75" customHeight="1">
      <c r="A38" s="110" t="s">
        <v>63</v>
      </c>
      <c r="B38" s="111">
        <f t="shared" ref="B38:M38" si="4">SUM(B15:B37)</f>
        <v>24612.97</v>
      </c>
      <c r="C38" s="111">
        <f t="shared" si="4"/>
        <v>2254.5</v>
      </c>
      <c r="D38" s="111">
        <f t="shared" si="4"/>
        <v>160</v>
      </c>
      <c r="E38" s="111">
        <f t="shared" si="4"/>
        <v>381.7</v>
      </c>
      <c r="F38" s="111">
        <f t="shared" si="4"/>
        <v>220</v>
      </c>
      <c r="G38" s="111">
        <f t="shared" si="4"/>
        <v>1491</v>
      </c>
      <c r="H38" s="111">
        <f t="shared" si="4"/>
        <v>3231.3</v>
      </c>
      <c r="I38" s="112">
        <f t="shared" si="4"/>
        <v>26074.7</v>
      </c>
      <c r="J38" s="111">
        <f t="shared" si="4"/>
        <v>31457.899999999998</v>
      </c>
      <c r="K38" s="111">
        <f>SUM(K15:K37)</f>
        <v>53030.5</v>
      </c>
      <c r="L38" s="111">
        <f t="shared" si="4"/>
        <v>128335.26000000001</v>
      </c>
      <c r="M38" s="111">
        <f t="shared" si="4"/>
        <v>271249.83000000007</v>
      </c>
      <c r="N38" s="104"/>
    </row>
    <row r="39" spans="1:14" ht="42.75" customHeight="1">
      <c r="A39" s="113" t="s">
        <v>65</v>
      </c>
      <c r="B39" s="98">
        <v>0</v>
      </c>
      <c r="C39" s="98"/>
      <c r="D39" s="98">
        <v>0</v>
      </c>
      <c r="E39" s="98">
        <v>0</v>
      </c>
      <c r="F39" s="98">
        <v>0</v>
      </c>
      <c r="G39" s="98"/>
      <c r="H39" s="98"/>
      <c r="I39" s="98">
        <v>0</v>
      </c>
      <c r="J39" s="98">
        <v>0</v>
      </c>
      <c r="K39" s="98"/>
      <c r="L39" s="98">
        <v>0</v>
      </c>
      <c r="M39" s="98">
        <f>[4]Союзы!G14</f>
        <v>10913.726076456271</v>
      </c>
      <c r="N39" s="114"/>
    </row>
    <row r="40" spans="1:14" ht="290.25" customHeight="1">
      <c r="A40" s="113" t="s">
        <v>213</v>
      </c>
      <c r="B40" s="98">
        <v>0</v>
      </c>
      <c r="C40" s="98"/>
      <c r="D40" s="98">
        <v>0</v>
      </c>
      <c r="E40" s="98">
        <v>0</v>
      </c>
      <c r="F40" s="98">
        <v>0</v>
      </c>
      <c r="G40" s="98"/>
      <c r="H40" s="98"/>
      <c r="I40" s="98">
        <v>0</v>
      </c>
      <c r="J40" s="98"/>
      <c r="K40" s="98">
        <f>20363-2000</f>
        <v>18363</v>
      </c>
      <c r="L40" s="98">
        <v>4753.8</v>
      </c>
      <c r="M40" s="98">
        <f>SUM(B40:L40)</f>
        <v>23116.799999999999</v>
      </c>
      <c r="N40" s="114" t="s">
        <v>214</v>
      </c>
    </row>
    <row r="41" spans="1:14" ht="51.75" customHeight="1">
      <c r="A41" s="113" t="s">
        <v>73</v>
      </c>
      <c r="B41" s="112">
        <f t="shared" ref="B41:L41" si="5">B40+B39+B14+B10+B4+B38</f>
        <v>57786.67</v>
      </c>
      <c r="C41" s="112">
        <f t="shared" si="5"/>
        <v>3362</v>
      </c>
      <c r="D41" s="112">
        <f t="shared" si="5"/>
        <v>6056.5280000000002</v>
      </c>
      <c r="E41" s="112">
        <f t="shared" si="5"/>
        <v>438.5</v>
      </c>
      <c r="F41" s="112">
        <f t="shared" si="5"/>
        <v>467.34000000000003</v>
      </c>
      <c r="G41" s="112">
        <f t="shared" si="5"/>
        <v>2363.2380000000003</v>
      </c>
      <c r="H41" s="112">
        <f t="shared" si="5"/>
        <v>17981</v>
      </c>
      <c r="I41" s="112">
        <f t="shared" si="5"/>
        <v>71317.22</v>
      </c>
      <c r="J41" s="112">
        <f t="shared" si="5"/>
        <v>91060.3</v>
      </c>
      <c r="K41" s="112">
        <f>K40+K39+K14+K10+K4+K38</f>
        <v>92223.5</v>
      </c>
      <c r="L41" s="112">
        <f t="shared" si="5"/>
        <v>174685.236</v>
      </c>
      <c r="M41" s="112">
        <f>M40+M39+M14+M10+M4+M38</f>
        <v>528655.25807645638</v>
      </c>
      <c r="N41" s="115"/>
    </row>
    <row r="42" spans="1:14" ht="26.25" customHeight="1">
      <c r="A42" s="174"/>
      <c r="B42" s="174"/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</row>
    <row r="43" spans="1:14" ht="26.25" customHeight="1">
      <c r="A43" s="116"/>
      <c r="B43" s="116"/>
      <c r="C43" s="116"/>
      <c r="D43" s="116"/>
      <c r="E43" s="116"/>
      <c r="F43" s="116"/>
      <c r="G43" s="116"/>
      <c r="H43" s="116"/>
      <c r="I43" s="117"/>
      <c r="J43" s="116"/>
      <c r="K43" s="116"/>
      <c r="L43" s="116"/>
      <c r="M43" s="116"/>
      <c r="N43" s="116"/>
    </row>
    <row r="44" spans="1:14" ht="26.25" customHeight="1">
      <c r="A44" s="116"/>
      <c r="B44" s="116"/>
      <c r="C44" s="116"/>
      <c r="D44" s="116"/>
      <c r="E44" s="116"/>
      <c r="F44" s="116"/>
      <c r="G44" s="116"/>
      <c r="H44" s="116"/>
      <c r="I44" s="117"/>
      <c r="J44" s="116"/>
      <c r="K44" s="116"/>
      <c r="L44" s="116"/>
      <c r="M44" s="116"/>
      <c r="N44" s="116"/>
    </row>
    <row r="45" spans="1:14" ht="33.75" customHeight="1">
      <c r="A45" s="175" t="s">
        <v>215</v>
      </c>
      <c r="B45" s="176"/>
      <c r="C45" s="176"/>
      <c r="D45" s="176"/>
      <c r="E45" s="176"/>
      <c r="F45" s="176"/>
      <c r="G45" s="176"/>
      <c r="H45" s="176"/>
      <c r="I45" s="176"/>
      <c r="J45" s="177"/>
      <c r="K45" s="177"/>
      <c r="L45" s="177"/>
      <c r="M45" s="177"/>
      <c r="N45" s="118" t="s">
        <v>78</v>
      </c>
    </row>
    <row r="46" spans="1:14">
      <c r="C46" s="121"/>
      <c r="D46" s="121"/>
      <c r="E46" s="121"/>
      <c r="F46" s="121"/>
      <c r="G46" s="121"/>
      <c r="H46" s="121"/>
      <c r="J46" s="121"/>
      <c r="K46" s="121"/>
      <c r="L46" s="121"/>
    </row>
    <row r="47" spans="1:14" ht="23.25" customHeight="1">
      <c r="A47" s="124"/>
      <c r="B47" s="121"/>
      <c r="C47" s="121"/>
      <c r="D47" s="121"/>
      <c r="E47" s="121"/>
      <c r="F47" s="121"/>
      <c r="G47" s="121"/>
      <c r="H47" s="121"/>
      <c r="J47" s="121"/>
      <c r="K47" s="121"/>
      <c r="L47" s="121"/>
      <c r="M47" s="125"/>
      <c r="N47" s="126"/>
    </row>
    <row r="48" spans="1:14" ht="23.25" customHeight="1">
      <c r="A48" s="124"/>
      <c r="B48" s="121"/>
      <c r="C48" s="121"/>
      <c r="D48" s="121"/>
      <c r="E48" s="121"/>
      <c r="F48" s="121"/>
      <c r="G48" s="121"/>
      <c r="H48" s="121"/>
      <c r="J48" s="121"/>
      <c r="K48" s="121"/>
      <c r="L48" s="121"/>
      <c r="M48" s="125"/>
      <c r="N48" s="126"/>
    </row>
    <row r="49" spans="1:14">
      <c r="A49" s="124"/>
      <c r="B49" s="121"/>
      <c r="C49" s="121"/>
      <c r="D49" s="121"/>
      <c r="E49" s="121"/>
      <c r="F49" s="121"/>
      <c r="G49" s="121"/>
      <c r="H49" s="121"/>
      <c r="J49" s="121"/>
      <c r="K49" s="121"/>
      <c r="L49" s="121"/>
      <c r="M49" s="125"/>
      <c r="N49" s="126"/>
    </row>
    <row r="50" spans="1:14">
      <c r="A50" s="124"/>
      <c r="B50" s="121"/>
      <c r="C50" s="121"/>
      <c r="D50" s="121"/>
      <c r="E50" s="121"/>
      <c r="F50" s="121"/>
      <c r="G50" s="121"/>
      <c r="H50" s="121"/>
      <c r="J50" s="121"/>
      <c r="K50" s="121"/>
      <c r="L50" s="121"/>
      <c r="M50" s="125"/>
      <c r="N50" s="126"/>
    </row>
    <row r="51" spans="1:14">
      <c r="A51" s="124"/>
      <c r="B51" s="121"/>
      <c r="C51" s="121"/>
      <c r="D51" s="121"/>
      <c r="E51" s="121"/>
      <c r="F51" s="121"/>
      <c r="G51" s="121"/>
      <c r="H51" s="121"/>
      <c r="J51" s="121"/>
      <c r="K51" s="121"/>
      <c r="L51" s="121"/>
      <c r="M51" s="125"/>
      <c r="N51" s="126"/>
    </row>
    <row r="52" spans="1:14">
      <c r="A52" s="124"/>
      <c r="B52" s="121"/>
      <c r="C52" s="121"/>
      <c r="D52" s="121"/>
      <c r="E52" s="121"/>
      <c r="F52" s="121"/>
      <c r="G52" s="121"/>
      <c r="H52" s="121"/>
      <c r="J52" s="121"/>
      <c r="K52" s="121"/>
      <c r="L52" s="121"/>
      <c r="M52" s="125"/>
      <c r="N52" s="126"/>
    </row>
    <row r="53" spans="1:14">
      <c r="A53" s="124"/>
      <c r="B53" s="121"/>
      <c r="C53" s="121"/>
      <c r="D53" s="121"/>
      <c r="E53" s="121"/>
      <c r="F53" s="121"/>
      <c r="G53" s="121"/>
      <c r="H53" s="121"/>
      <c r="J53" s="121"/>
      <c r="K53" s="121"/>
      <c r="L53" s="121"/>
      <c r="M53" s="125"/>
      <c r="N53" s="126"/>
    </row>
    <row r="54" spans="1:14">
      <c r="A54" s="124"/>
      <c r="B54" s="121"/>
      <c r="C54" s="121"/>
      <c r="D54" s="121"/>
      <c r="E54" s="121"/>
      <c r="F54" s="121"/>
      <c r="G54" s="121"/>
      <c r="H54" s="121"/>
      <c r="J54" s="121"/>
      <c r="K54" s="121"/>
      <c r="L54" s="121"/>
      <c r="M54" s="125"/>
      <c r="N54" s="126"/>
    </row>
    <row r="55" spans="1:14">
      <c r="A55" s="124"/>
      <c r="B55" s="121"/>
      <c r="C55" s="121"/>
      <c r="D55" s="121"/>
      <c r="E55" s="121"/>
      <c r="F55" s="121"/>
      <c r="G55" s="121"/>
      <c r="H55" s="121"/>
      <c r="J55" s="121"/>
      <c r="K55" s="121"/>
      <c r="L55" s="121"/>
      <c r="M55" s="125"/>
      <c r="N55" s="126"/>
    </row>
    <row r="56" spans="1:14">
      <c r="A56" s="124"/>
      <c r="B56" s="121"/>
      <c r="C56" s="121"/>
      <c r="D56" s="121"/>
      <c r="E56" s="121"/>
      <c r="F56" s="121"/>
      <c r="G56" s="121"/>
      <c r="H56" s="121"/>
      <c r="J56" s="121"/>
      <c r="K56" s="121"/>
      <c r="L56" s="121"/>
      <c r="M56" s="125"/>
      <c r="N56" s="126"/>
    </row>
    <row r="57" spans="1:14">
      <c r="A57" s="124"/>
      <c r="B57" s="121"/>
      <c r="C57" s="121"/>
      <c r="D57" s="121"/>
      <c r="E57" s="121"/>
      <c r="F57" s="121"/>
      <c r="G57" s="121"/>
      <c r="H57" s="121"/>
      <c r="J57" s="121"/>
      <c r="K57" s="121"/>
      <c r="L57" s="121"/>
      <c r="M57" s="125"/>
      <c r="N57" s="126"/>
    </row>
    <row r="58" spans="1:14">
      <c r="A58" s="124"/>
      <c r="B58" s="121"/>
      <c r="C58" s="121"/>
      <c r="D58" s="121"/>
      <c r="E58" s="121"/>
      <c r="F58" s="121"/>
      <c r="G58" s="121"/>
      <c r="H58" s="121"/>
      <c r="J58" s="121"/>
      <c r="K58" s="121"/>
      <c r="L58" s="121"/>
      <c r="M58" s="125"/>
      <c r="N58" s="126"/>
    </row>
    <row r="59" spans="1:14">
      <c r="A59" s="124"/>
      <c r="B59" s="121"/>
      <c r="C59" s="121"/>
      <c r="D59" s="121"/>
      <c r="E59" s="121"/>
      <c r="F59" s="121"/>
      <c r="G59" s="121"/>
      <c r="H59" s="121"/>
      <c r="J59" s="121"/>
      <c r="K59" s="121"/>
      <c r="L59" s="121"/>
      <c r="M59" s="125"/>
      <c r="N59" s="126"/>
    </row>
    <row r="60" spans="1:14">
      <c r="A60" s="124"/>
      <c r="B60" s="121"/>
      <c r="C60" s="121"/>
      <c r="D60" s="121"/>
      <c r="E60" s="121"/>
      <c r="F60" s="121"/>
      <c r="G60" s="121"/>
      <c r="H60" s="121"/>
      <c r="J60" s="121"/>
      <c r="K60" s="121"/>
      <c r="L60" s="121"/>
      <c r="M60" s="125"/>
      <c r="N60" s="126"/>
    </row>
    <row r="61" spans="1:14">
      <c r="A61" s="124"/>
      <c r="B61" s="121"/>
      <c r="C61" s="121"/>
      <c r="D61" s="121"/>
      <c r="E61" s="121"/>
      <c r="F61" s="121"/>
      <c r="G61" s="121"/>
      <c r="H61" s="121"/>
      <c r="J61" s="121"/>
      <c r="K61" s="121"/>
      <c r="L61" s="121"/>
      <c r="M61" s="125"/>
      <c r="N61" s="126"/>
    </row>
    <row r="62" spans="1:14">
      <c r="A62" s="124"/>
      <c r="B62" s="121"/>
      <c r="C62" s="121"/>
      <c r="D62" s="121"/>
      <c r="E62" s="121"/>
      <c r="F62" s="121"/>
      <c r="G62" s="121"/>
      <c r="H62" s="121"/>
      <c r="J62" s="121"/>
      <c r="K62" s="121"/>
      <c r="L62" s="121"/>
      <c r="M62" s="125"/>
      <c r="N62" s="126"/>
    </row>
    <row r="63" spans="1:14">
      <c r="A63" s="124"/>
      <c r="B63" s="121"/>
      <c r="C63" s="121"/>
      <c r="D63" s="121"/>
      <c r="E63" s="121"/>
      <c r="F63" s="121"/>
      <c r="G63" s="121"/>
      <c r="H63" s="121"/>
      <c r="J63" s="121"/>
      <c r="K63" s="121"/>
      <c r="L63" s="121"/>
      <c r="M63" s="125"/>
      <c r="N63" s="126"/>
    </row>
    <row r="64" spans="1:14">
      <c r="A64" s="124"/>
      <c r="B64" s="121"/>
      <c r="C64" s="121"/>
      <c r="D64" s="121"/>
      <c r="E64" s="121"/>
      <c r="F64" s="121"/>
      <c r="G64" s="121"/>
      <c r="H64" s="121"/>
      <c r="J64" s="121"/>
      <c r="K64" s="121"/>
      <c r="L64" s="121"/>
      <c r="M64" s="125"/>
      <c r="N64" s="126"/>
    </row>
    <row r="65" spans="1:14">
      <c r="A65" s="124"/>
      <c r="B65" s="121"/>
      <c r="C65" s="121"/>
      <c r="D65" s="121"/>
      <c r="E65" s="121"/>
      <c r="F65" s="121"/>
      <c r="G65" s="121"/>
      <c r="H65" s="121"/>
      <c r="J65" s="121"/>
      <c r="K65" s="121"/>
      <c r="L65" s="121"/>
      <c r="M65" s="125"/>
      <c r="N65" s="126"/>
    </row>
    <row r="66" spans="1:14">
      <c r="A66" s="124"/>
      <c r="B66" s="121"/>
      <c r="C66" s="121"/>
      <c r="D66" s="121"/>
      <c r="E66" s="121"/>
      <c r="F66" s="121"/>
      <c r="G66" s="121"/>
      <c r="H66" s="121"/>
      <c r="J66" s="121"/>
      <c r="K66" s="121"/>
      <c r="L66" s="121"/>
      <c r="M66" s="125"/>
      <c r="N66" s="126"/>
    </row>
    <row r="67" spans="1:14">
      <c r="A67" s="124"/>
      <c r="B67" s="121"/>
      <c r="C67" s="121"/>
      <c r="D67" s="121"/>
      <c r="E67" s="121"/>
      <c r="F67" s="121"/>
      <c r="G67" s="121"/>
      <c r="H67" s="121"/>
      <c r="J67" s="121"/>
      <c r="K67" s="121"/>
      <c r="L67" s="121"/>
      <c r="M67" s="125"/>
      <c r="N67" s="126"/>
    </row>
    <row r="68" spans="1:14">
      <c r="A68" s="124"/>
      <c r="B68" s="121"/>
      <c r="C68" s="121"/>
      <c r="D68" s="121"/>
      <c r="E68" s="121"/>
      <c r="F68" s="121"/>
      <c r="G68" s="121"/>
      <c r="H68" s="121"/>
      <c r="J68" s="121"/>
      <c r="K68" s="121"/>
      <c r="L68" s="121"/>
      <c r="M68" s="125"/>
      <c r="N68" s="126"/>
    </row>
    <row r="69" spans="1:14">
      <c r="A69" s="124"/>
      <c r="B69" s="121"/>
      <c r="C69" s="121"/>
      <c r="D69" s="121"/>
      <c r="E69" s="121"/>
      <c r="F69" s="121"/>
      <c r="G69" s="121"/>
      <c r="H69" s="121"/>
      <c r="J69" s="121"/>
      <c r="K69" s="121"/>
    </row>
    <row r="70" spans="1:14">
      <c r="A70" s="124"/>
      <c r="B70" s="121"/>
      <c r="C70" s="121"/>
      <c r="D70" s="121"/>
      <c r="E70" s="121"/>
      <c r="F70" s="121"/>
      <c r="G70" s="121"/>
      <c r="H70" s="121"/>
      <c r="J70" s="121"/>
      <c r="K70" s="121"/>
    </row>
    <row r="71" spans="1:14">
      <c r="A71" s="124"/>
      <c r="B71" s="121"/>
      <c r="C71" s="121"/>
      <c r="D71" s="121"/>
      <c r="E71" s="121"/>
      <c r="F71" s="121"/>
      <c r="G71" s="121"/>
      <c r="H71" s="121"/>
      <c r="J71" s="121"/>
      <c r="K71" s="121"/>
    </row>
    <row r="72" spans="1:14">
      <c r="A72" s="124"/>
      <c r="B72" s="121"/>
      <c r="C72" s="121"/>
      <c r="D72" s="121"/>
      <c r="E72" s="121"/>
      <c r="F72" s="121"/>
      <c r="G72" s="121"/>
      <c r="H72" s="121"/>
      <c r="J72" s="121"/>
      <c r="K72" s="121"/>
    </row>
    <row r="73" spans="1:14">
      <c r="A73" s="124"/>
      <c r="B73" s="121"/>
      <c r="C73" s="121"/>
      <c r="D73" s="121"/>
      <c r="E73" s="121"/>
      <c r="F73" s="121"/>
      <c r="G73" s="121"/>
      <c r="H73" s="121"/>
      <c r="J73" s="121"/>
      <c r="K73" s="121"/>
    </row>
    <row r="74" spans="1:14">
      <c r="A74" s="124"/>
      <c r="B74" s="121"/>
      <c r="C74" s="121"/>
      <c r="D74" s="121"/>
      <c r="E74" s="121"/>
      <c r="F74" s="121"/>
      <c r="G74" s="121"/>
      <c r="H74" s="121"/>
      <c r="J74" s="121"/>
      <c r="K74" s="121"/>
    </row>
    <row r="75" spans="1:14">
      <c r="A75" s="124"/>
      <c r="B75" s="121"/>
      <c r="C75" s="121"/>
      <c r="D75" s="121"/>
      <c r="E75" s="121"/>
      <c r="F75" s="121"/>
      <c r="G75" s="121"/>
      <c r="H75" s="121"/>
      <c r="J75" s="121"/>
      <c r="K75" s="121"/>
    </row>
    <row r="76" spans="1:14">
      <c r="A76" s="124"/>
      <c r="B76" s="121"/>
      <c r="C76" s="121"/>
      <c r="D76" s="121"/>
      <c r="E76" s="121"/>
      <c r="F76" s="121"/>
      <c r="G76" s="121"/>
      <c r="H76" s="121"/>
      <c r="J76" s="121"/>
      <c r="K76" s="121"/>
    </row>
    <row r="77" spans="1:14">
      <c r="A77" s="124"/>
      <c r="B77" s="121"/>
      <c r="C77" s="121"/>
      <c r="D77" s="121"/>
      <c r="E77" s="121"/>
      <c r="F77" s="121"/>
      <c r="G77" s="121"/>
      <c r="H77" s="121"/>
      <c r="J77" s="121"/>
      <c r="K77" s="121"/>
    </row>
    <row r="78" spans="1:14">
      <c r="A78" s="124"/>
      <c r="B78" s="121"/>
      <c r="C78" s="121"/>
      <c r="D78" s="121"/>
      <c r="E78" s="121"/>
      <c r="F78" s="121"/>
      <c r="G78" s="121"/>
      <c r="H78" s="121"/>
      <c r="J78" s="121"/>
      <c r="K78" s="121"/>
    </row>
    <row r="79" spans="1:14">
      <c r="A79" s="124"/>
      <c r="B79" s="121"/>
      <c r="C79" s="121"/>
      <c r="D79" s="121"/>
      <c r="E79" s="121"/>
      <c r="F79" s="121"/>
      <c r="G79" s="121"/>
      <c r="H79" s="121"/>
      <c r="J79" s="121"/>
      <c r="K79" s="121"/>
    </row>
    <row r="80" spans="1:14">
      <c r="A80" s="124"/>
      <c r="B80" s="121"/>
      <c r="C80" s="121"/>
      <c r="D80" s="121"/>
      <c r="E80" s="121"/>
      <c r="F80" s="121"/>
      <c r="G80" s="121"/>
      <c r="H80" s="121"/>
      <c r="J80" s="121"/>
      <c r="K80" s="121"/>
    </row>
    <row r="81" spans="1:11">
      <c r="A81" s="124"/>
      <c r="B81" s="121"/>
      <c r="C81" s="121"/>
      <c r="D81" s="121"/>
      <c r="E81" s="121"/>
      <c r="F81" s="121"/>
      <c r="G81" s="121"/>
      <c r="H81" s="121"/>
      <c r="J81" s="121"/>
      <c r="K81" s="121"/>
    </row>
    <row r="82" spans="1:11">
      <c r="A82" s="124"/>
      <c r="B82" s="121"/>
      <c r="C82" s="121"/>
      <c r="D82" s="121"/>
      <c r="E82" s="121"/>
      <c r="F82" s="121"/>
      <c r="G82" s="121"/>
      <c r="H82" s="121"/>
      <c r="J82" s="121"/>
      <c r="K82" s="121"/>
    </row>
    <row r="83" spans="1:11">
      <c r="A83" s="124"/>
      <c r="B83" s="121"/>
      <c r="C83" s="121"/>
      <c r="D83" s="121"/>
      <c r="E83" s="121"/>
      <c r="F83" s="121"/>
      <c r="G83" s="121"/>
      <c r="H83" s="121"/>
      <c r="J83" s="121"/>
      <c r="K83" s="121"/>
    </row>
    <row r="84" spans="1:11">
      <c r="A84" s="124"/>
      <c r="B84" s="121"/>
      <c r="C84" s="121"/>
      <c r="D84" s="121"/>
      <c r="E84" s="121"/>
      <c r="F84" s="121"/>
      <c r="G84" s="121"/>
      <c r="H84" s="121"/>
      <c r="J84" s="121"/>
      <c r="K84" s="121"/>
    </row>
    <row r="85" spans="1:11">
      <c r="A85" s="124"/>
      <c r="B85" s="121"/>
      <c r="C85" s="121"/>
      <c r="D85" s="121"/>
      <c r="E85" s="121"/>
      <c r="F85" s="121"/>
      <c r="G85" s="121"/>
      <c r="H85" s="121"/>
      <c r="J85" s="121"/>
      <c r="K85" s="121"/>
    </row>
    <row r="86" spans="1:11">
      <c r="A86" s="124"/>
      <c r="B86" s="121"/>
      <c r="C86" s="121"/>
      <c r="D86" s="121"/>
      <c r="E86" s="121"/>
      <c r="F86" s="121"/>
      <c r="G86" s="121"/>
      <c r="H86" s="121"/>
      <c r="J86" s="121"/>
      <c r="K86" s="121"/>
    </row>
    <row r="87" spans="1:11">
      <c r="A87" s="124"/>
      <c r="B87" s="121"/>
      <c r="C87" s="121"/>
      <c r="D87" s="121"/>
      <c r="E87" s="121"/>
      <c r="F87" s="121"/>
      <c r="G87" s="121"/>
      <c r="H87" s="121"/>
      <c r="J87" s="121"/>
      <c r="K87" s="121"/>
    </row>
    <row r="88" spans="1:11">
      <c r="A88" s="124"/>
      <c r="B88" s="121"/>
      <c r="C88" s="121"/>
      <c r="D88" s="121"/>
      <c r="E88" s="121"/>
      <c r="F88" s="121"/>
      <c r="G88" s="121"/>
      <c r="H88" s="121"/>
      <c r="J88" s="121"/>
      <c r="K88" s="121"/>
    </row>
    <row r="89" spans="1:11">
      <c r="A89" s="124"/>
      <c r="B89" s="121"/>
      <c r="C89" s="121"/>
      <c r="D89" s="121"/>
      <c r="E89" s="121"/>
      <c r="F89" s="121"/>
      <c r="G89" s="121"/>
      <c r="H89" s="121"/>
      <c r="J89" s="121"/>
      <c r="K89" s="121"/>
    </row>
    <row r="90" spans="1:11">
      <c r="A90" s="124"/>
      <c r="B90" s="121"/>
      <c r="C90" s="121"/>
      <c r="D90" s="121"/>
      <c r="E90" s="121"/>
      <c r="F90" s="121"/>
      <c r="G90" s="121"/>
      <c r="H90" s="121"/>
      <c r="J90" s="121"/>
      <c r="K90" s="121"/>
    </row>
    <row r="91" spans="1:11">
      <c r="A91" s="124"/>
      <c r="B91" s="121"/>
      <c r="C91" s="121"/>
      <c r="D91" s="121"/>
      <c r="E91" s="121"/>
      <c r="F91" s="121"/>
      <c r="G91" s="121"/>
      <c r="H91" s="121"/>
      <c r="J91" s="121"/>
      <c r="K91" s="121"/>
    </row>
    <row r="92" spans="1:11">
      <c r="A92" s="124"/>
      <c r="B92" s="121"/>
      <c r="C92" s="121"/>
      <c r="D92" s="121"/>
      <c r="E92" s="121"/>
      <c r="F92" s="121"/>
      <c r="G92" s="121"/>
      <c r="H92" s="121"/>
      <c r="J92" s="121"/>
      <c r="K92" s="121"/>
    </row>
    <row r="93" spans="1:11">
      <c r="A93" s="124"/>
      <c r="B93" s="121"/>
      <c r="C93" s="121"/>
      <c r="D93" s="121"/>
      <c r="E93" s="121"/>
      <c r="F93" s="121"/>
      <c r="G93" s="121"/>
      <c r="H93" s="121"/>
      <c r="J93" s="121"/>
      <c r="K93" s="121"/>
    </row>
    <row r="94" spans="1:11">
      <c r="A94" s="124"/>
      <c r="B94" s="121"/>
      <c r="C94" s="121"/>
      <c r="D94" s="121"/>
      <c r="E94" s="121"/>
      <c r="F94" s="121"/>
      <c r="G94" s="121"/>
      <c r="H94" s="121"/>
      <c r="J94" s="121"/>
      <c r="K94" s="121"/>
    </row>
    <row r="95" spans="1:11">
      <c r="A95" s="124"/>
      <c r="B95" s="121"/>
      <c r="C95" s="121"/>
      <c r="D95" s="121"/>
      <c r="E95" s="121"/>
      <c r="F95" s="121"/>
      <c r="G95" s="121"/>
      <c r="H95" s="121"/>
      <c r="J95" s="121"/>
      <c r="K95" s="121"/>
    </row>
    <row r="96" spans="1:11">
      <c r="A96" s="124"/>
      <c r="B96" s="121"/>
      <c r="C96" s="121"/>
      <c r="D96" s="121"/>
      <c r="E96" s="121"/>
      <c r="F96" s="121"/>
      <c r="G96" s="121"/>
      <c r="H96" s="121"/>
      <c r="J96" s="121"/>
      <c r="K96" s="121"/>
    </row>
    <row r="97" spans="1:11">
      <c r="A97" s="124"/>
      <c r="B97" s="121"/>
      <c r="C97" s="121"/>
      <c r="D97" s="121"/>
      <c r="E97" s="121"/>
      <c r="F97" s="121"/>
      <c r="G97" s="121"/>
      <c r="H97" s="121"/>
      <c r="J97" s="121"/>
      <c r="K97" s="121"/>
    </row>
    <row r="98" spans="1:11">
      <c r="A98" s="124"/>
      <c r="B98" s="121"/>
      <c r="C98" s="121"/>
      <c r="D98" s="121"/>
      <c r="E98" s="121"/>
      <c r="F98" s="121"/>
      <c r="G98" s="121"/>
      <c r="H98" s="121"/>
      <c r="J98" s="121"/>
      <c r="K98" s="121"/>
    </row>
    <row r="99" spans="1:11">
      <c r="A99" s="124"/>
      <c r="B99" s="121"/>
      <c r="C99" s="121"/>
      <c r="D99" s="121"/>
      <c r="E99" s="121"/>
      <c r="F99" s="121"/>
      <c r="G99" s="121"/>
      <c r="H99" s="121"/>
      <c r="J99" s="121"/>
      <c r="K99" s="121"/>
    </row>
    <row r="100" spans="1:11">
      <c r="A100" s="124"/>
      <c r="B100" s="121"/>
      <c r="C100" s="121"/>
      <c r="D100" s="121"/>
      <c r="E100" s="121"/>
      <c r="F100" s="121"/>
      <c r="G100" s="121"/>
      <c r="H100" s="121"/>
      <c r="J100" s="121"/>
      <c r="K100" s="121"/>
    </row>
    <row r="101" spans="1:11">
      <c r="A101" s="124"/>
      <c r="B101" s="121"/>
      <c r="C101" s="121"/>
      <c r="D101" s="121"/>
      <c r="E101" s="121"/>
      <c r="F101" s="121"/>
      <c r="G101" s="121"/>
      <c r="H101" s="121"/>
      <c r="J101" s="121"/>
      <c r="K101" s="121"/>
    </row>
    <row r="102" spans="1:11">
      <c r="A102" s="124"/>
      <c r="B102" s="121"/>
      <c r="C102" s="121"/>
      <c r="D102" s="121"/>
      <c r="E102" s="121"/>
      <c r="F102" s="121"/>
      <c r="G102" s="121"/>
      <c r="H102" s="121"/>
      <c r="J102" s="121"/>
      <c r="K102" s="121"/>
    </row>
    <row r="103" spans="1:11">
      <c r="A103" s="124"/>
      <c r="B103" s="121"/>
      <c r="C103" s="121"/>
      <c r="D103" s="121"/>
      <c r="E103" s="121"/>
      <c r="F103" s="121"/>
      <c r="G103" s="121"/>
      <c r="H103" s="121"/>
      <c r="J103" s="121"/>
      <c r="K103" s="121"/>
    </row>
    <row r="104" spans="1:11">
      <c r="A104" s="124"/>
      <c r="B104" s="121"/>
      <c r="C104" s="121"/>
      <c r="D104" s="121"/>
      <c r="E104" s="121"/>
      <c r="F104" s="121"/>
      <c r="G104" s="121"/>
      <c r="H104" s="121"/>
      <c r="J104" s="121"/>
      <c r="K104" s="121"/>
    </row>
    <row r="105" spans="1:11">
      <c r="A105" s="124"/>
      <c r="B105" s="121"/>
      <c r="C105" s="121"/>
      <c r="D105" s="121"/>
      <c r="E105" s="121"/>
      <c r="F105" s="121"/>
      <c r="G105" s="121"/>
      <c r="H105" s="121"/>
      <c r="J105" s="121"/>
      <c r="K105" s="121"/>
    </row>
    <row r="106" spans="1:11">
      <c r="A106" s="124"/>
      <c r="B106" s="121"/>
      <c r="C106" s="121"/>
      <c r="D106" s="121"/>
      <c r="E106" s="121"/>
      <c r="F106" s="121"/>
      <c r="G106" s="121"/>
      <c r="H106" s="121"/>
      <c r="J106" s="121"/>
      <c r="K106" s="121"/>
    </row>
    <row r="107" spans="1:11">
      <c r="A107" s="124"/>
      <c r="B107" s="121"/>
      <c r="C107" s="121"/>
      <c r="D107" s="121"/>
      <c r="E107" s="121"/>
      <c r="F107" s="121"/>
      <c r="G107" s="121"/>
      <c r="H107" s="121"/>
      <c r="J107" s="121"/>
      <c r="K107" s="121"/>
    </row>
    <row r="108" spans="1:11">
      <c r="A108" s="124"/>
      <c r="B108" s="121"/>
      <c r="C108" s="121"/>
      <c r="D108" s="121"/>
      <c r="E108" s="121"/>
      <c r="F108" s="121"/>
      <c r="G108" s="121"/>
      <c r="H108" s="121"/>
      <c r="J108" s="121"/>
      <c r="K108" s="121"/>
    </row>
    <row r="109" spans="1:11">
      <c r="A109" s="124"/>
      <c r="B109" s="121"/>
      <c r="C109" s="121"/>
      <c r="D109" s="121"/>
      <c r="E109" s="121"/>
      <c r="F109" s="121"/>
      <c r="G109" s="121"/>
      <c r="H109" s="121"/>
      <c r="J109" s="121"/>
      <c r="K109" s="121"/>
    </row>
    <row r="110" spans="1:11">
      <c r="A110" s="124"/>
      <c r="B110" s="121"/>
      <c r="C110" s="121"/>
      <c r="D110" s="121"/>
      <c r="E110" s="121"/>
      <c r="F110" s="121"/>
      <c r="G110" s="121"/>
      <c r="H110" s="121"/>
      <c r="J110" s="121"/>
      <c r="K110" s="121"/>
    </row>
    <row r="111" spans="1:11">
      <c r="A111" s="124"/>
      <c r="B111" s="121"/>
      <c r="C111" s="121"/>
      <c r="D111" s="121"/>
      <c r="E111" s="121"/>
      <c r="F111" s="121"/>
      <c r="G111" s="121"/>
      <c r="H111" s="121"/>
      <c r="J111" s="121"/>
      <c r="K111" s="121"/>
    </row>
    <row r="112" spans="1:11">
      <c r="A112" s="124"/>
      <c r="B112" s="121"/>
      <c r="C112" s="121"/>
      <c r="D112" s="121"/>
      <c r="E112" s="121"/>
      <c r="F112" s="121"/>
      <c r="G112" s="121"/>
      <c r="H112" s="121"/>
      <c r="J112" s="121"/>
      <c r="K112" s="121"/>
    </row>
    <row r="113" spans="1:11">
      <c r="A113" s="124"/>
      <c r="B113" s="121"/>
      <c r="C113" s="121"/>
      <c r="D113" s="121"/>
      <c r="E113" s="121"/>
      <c r="F113" s="121"/>
      <c r="G113" s="121"/>
      <c r="H113" s="121"/>
      <c r="J113" s="121"/>
      <c r="K113" s="121"/>
    </row>
    <row r="114" spans="1:11">
      <c r="A114" s="124"/>
      <c r="B114" s="121"/>
      <c r="C114" s="121"/>
      <c r="D114" s="121"/>
      <c r="E114" s="121"/>
      <c r="F114" s="121"/>
      <c r="G114" s="121"/>
      <c r="H114" s="121"/>
      <c r="J114" s="121"/>
      <c r="K114" s="121"/>
    </row>
    <row r="115" spans="1:11">
      <c r="A115" s="124"/>
      <c r="B115" s="121"/>
      <c r="C115" s="121"/>
      <c r="D115" s="121"/>
      <c r="E115" s="121"/>
      <c r="F115" s="121"/>
      <c r="G115" s="121"/>
      <c r="H115" s="121"/>
      <c r="J115" s="121"/>
      <c r="K115" s="121"/>
    </row>
    <row r="116" spans="1:11">
      <c r="A116" s="124"/>
      <c r="B116" s="121"/>
      <c r="C116" s="121"/>
      <c r="D116" s="121"/>
      <c r="E116" s="121"/>
      <c r="F116" s="121"/>
      <c r="G116" s="121"/>
      <c r="H116" s="121"/>
      <c r="J116" s="121"/>
      <c r="K116" s="121"/>
    </row>
    <row r="117" spans="1:11">
      <c r="A117" s="124"/>
      <c r="B117" s="121"/>
      <c r="C117" s="121"/>
      <c r="D117" s="121"/>
      <c r="E117" s="121"/>
      <c r="F117" s="121"/>
      <c r="G117" s="121"/>
      <c r="H117" s="121"/>
      <c r="J117" s="121"/>
      <c r="K117" s="121"/>
    </row>
    <row r="118" spans="1:11">
      <c r="A118" s="124"/>
      <c r="B118" s="121"/>
      <c r="C118" s="121"/>
      <c r="D118" s="121"/>
      <c r="E118" s="121"/>
      <c r="F118" s="121"/>
      <c r="G118" s="121"/>
      <c r="H118" s="121"/>
      <c r="J118" s="121"/>
      <c r="K118" s="121"/>
    </row>
    <row r="119" spans="1:11">
      <c r="A119" s="124"/>
      <c r="B119" s="121"/>
      <c r="C119" s="121"/>
      <c r="D119" s="121"/>
      <c r="E119" s="121"/>
      <c r="F119" s="121"/>
      <c r="G119" s="121"/>
      <c r="H119" s="121"/>
      <c r="J119" s="121"/>
      <c r="K119" s="121"/>
    </row>
    <row r="120" spans="1:11">
      <c r="A120" s="124"/>
      <c r="B120" s="121"/>
      <c r="C120" s="121"/>
      <c r="D120" s="121"/>
      <c r="E120" s="121"/>
      <c r="F120" s="121"/>
      <c r="G120" s="121"/>
      <c r="H120" s="121"/>
      <c r="J120" s="121"/>
      <c r="K120" s="121"/>
    </row>
    <row r="121" spans="1:11">
      <c r="A121" s="124"/>
      <c r="B121" s="121"/>
      <c r="C121" s="121"/>
      <c r="D121" s="121"/>
      <c r="E121" s="121"/>
      <c r="F121" s="121"/>
      <c r="G121" s="121"/>
      <c r="H121" s="121"/>
      <c r="J121" s="121"/>
      <c r="K121" s="121"/>
    </row>
    <row r="122" spans="1:11">
      <c r="A122" s="124"/>
      <c r="B122" s="121"/>
      <c r="C122" s="121"/>
      <c r="D122" s="121"/>
      <c r="E122" s="121"/>
      <c r="F122" s="121"/>
      <c r="G122" s="121"/>
      <c r="H122" s="121"/>
      <c r="J122" s="121"/>
      <c r="K122" s="121"/>
    </row>
    <row r="123" spans="1:11">
      <c r="A123" s="124"/>
      <c r="B123" s="121"/>
      <c r="C123" s="121"/>
      <c r="D123" s="121"/>
      <c r="E123" s="121"/>
      <c r="F123" s="121"/>
      <c r="G123" s="121"/>
      <c r="H123" s="121"/>
      <c r="J123" s="121"/>
      <c r="K123" s="121"/>
    </row>
    <row r="124" spans="1:11">
      <c r="A124" s="124"/>
      <c r="B124" s="121"/>
      <c r="C124" s="121"/>
      <c r="D124" s="121"/>
      <c r="E124" s="121"/>
      <c r="F124" s="121"/>
      <c r="G124" s="121"/>
      <c r="H124" s="121"/>
      <c r="J124" s="121"/>
      <c r="K124" s="121"/>
    </row>
    <row r="125" spans="1:11">
      <c r="A125" s="124"/>
      <c r="B125" s="121"/>
      <c r="C125" s="121"/>
      <c r="D125" s="121"/>
      <c r="E125" s="121"/>
      <c r="F125" s="121"/>
      <c r="G125" s="121"/>
      <c r="H125" s="121"/>
      <c r="J125" s="121"/>
      <c r="K125" s="121"/>
    </row>
    <row r="126" spans="1:11">
      <c r="A126" s="124"/>
      <c r="B126" s="121"/>
      <c r="C126" s="121"/>
      <c r="D126" s="121"/>
      <c r="E126" s="121"/>
      <c r="F126" s="121"/>
      <c r="G126" s="121"/>
      <c r="H126" s="121"/>
      <c r="J126" s="121"/>
      <c r="K126" s="121"/>
    </row>
    <row r="127" spans="1:11">
      <c r="A127" s="124"/>
      <c r="B127" s="121"/>
      <c r="C127" s="121"/>
      <c r="D127" s="121"/>
      <c r="E127" s="121"/>
      <c r="F127" s="121"/>
      <c r="G127" s="121"/>
      <c r="H127" s="121"/>
      <c r="J127" s="121"/>
      <c r="K127" s="121"/>
    </row>
    <row r="128" spans="1:11">
      <c r="A128" s="124"/>
      <c r="B128" s="121"/>
      <c r="C128" s="121"/>
      <c r="D128" s="121"/>
      <c r="E128" s="121"/>
      <c r="F128" s="121"/>
      <c r="G128" s="121"/>
      <c r="H128" s="121"/>
      <c r="J128" s="121"/>
      <c r="K128" s="121"/>
    </row>
    <row r="129" spans="1:11">
      <c r="A129" s="124"/>
      <c r="B129" s="121"/>
      <c r="C129" s="121"/>
      <c r="D129" s="121"/>
      <c r="E129" s="121"/>
      <c r="F129" s="121"/>
      <c r="G129" s="121"/>
      <c r="H129" s="121"/>
      <c r="J129" s="121"/>
      <c r="K129" s="121"/>
    </row>
    <row r="130" spans="1:11">
      <c r="A130" s="124"/>
      <c r="B130" s="121"/>
      <c r="C130" s="121"/>
      <c r="D130" s="121"/>
      <c r="E130" s="121"/>
      <c r="F130" s="121"/>
      <c r="G130" s="121"/>
      <c r="H130" s="121"/>
      <c r="J130" s="121"/>
      <c r="K130" s="121"/>
    </row>
    <row r="131" spans="1:11">
      <c r="A131" s="124"/>
      <c r="B131" s="121"/>
      <c r="C131" s="121"/>
      <c r="D131" s="121"/>
      <c r="E131" s="121"/>
      <c r="F131" s="121"/>
      <c r="G131" s="121"/>
      <c r="H131" s="121"/>
      <c r="J131" s="121"/>
      <c r="K131" s="121"/>
    </row>
    <row r="132" spans="1:11">
      <c r="A132" s="124"/>
      <c r="B132" s="121"/>
      <c r="C132" s="121"/>
      <c r="D132" s="121"/>
      <c r="E132" s="121"/>
      <c r="F132" s="121"/>
      <c r="G132" s="121"/>
      <c r="H132" s="121"/>
      <c r="J132" s="121"/>
      <c r="K132" s="121"/>
    </row>
  </sheetData>
  <mergeCells count="17">
    <mergeCell ref="A45:I45"/>
    <mergeCell ref="J45:M45"/>
    <mergeCell ref="A1:N1"/>
    <mergeCell ref="A2:A3"/>
    <mergeCell ref="B2:B3"/>
    <mergeCell ref="C2:C3"/>
    <mergeCell ref="D2:D3"/>
    <mergeCell ref="E2:E3"/>
    <mergeCell ref="F2:F3"/>
    <mergeCell ref="G2:G3"/>
    <mergeCell ref="L2:L3"/>
    <mergeCell ref="M2:N2"/>
    <mergeCell ref="A42:N42"/>
    <mergeCell ref="H2:H3"/>
    <mergeCell ref="I2:I3"/>
    <mergeCell ref="J2:J3"/>
    <mergeCell ref="K2:K3"/>
  </mergeCells>
  <phoneticPr fontId="26" type="noConversion"/>
  <printOptions horizontalCentered="1"/>
  <pageMargins left="0" right="0" top="0.15748031496062992" bottom="0.15748031496062992" header="0.31496062992125984" footer="0.31496062992125984"/>
  <pageSetup paperSize="9" scale="42" orientation="landscape" r:id="rId1"/>
  <headerFooter>
    <oddFooter>&amp;Z&amp;F</oddFooter>
  </headerFooter>
  <rowBreaks count="4" manualBreakCount="4">
    <brk id="9" max="13" man="1"/>
    <brk id="20" max="13" man="1"/>
    <brk id="27" max="13" man="1"/>
    <brk id="3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бюджет расч</vt:lpstr>
      <vt:lpstr>перечень мероприятий культура</vt:lpstr>
      <vt:lpstr>МатЗатр </vt:lpstr>
      <vt:lpstr>'бюджет расч'!Заголовки_для_печати</vt:lpstr>
      <vt:lpstr>'МатЗатр '!Заголовки_для_печати</vt:lpstr>
      <vt:lpstr>'МатЗатр '!Область_печати</vt:lpstr>
      <vt:lpstr>'перечень мероприятий культура'!Область_печати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ofss4</cp:lastModifiedBy>
  <cp:lastPrinted>2018-09-07T11:02:18Z</cp:lastPrinted>
  <dcterms:created xsi:type="dcterms:W3CDTF">2018-08-23T08:40:46Z</dcterms:created>
  <dcterms:modified xsi:type="dcterms:W3CDTF">2018-09-19T07:50:00Z</dcterms:modified>
</cp:coreProperties>
</file>